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5_V5 (Formula)" sheetId="1" state="visible" r:id="rId3"/>
    <sheet name="Final_CB_F5_V5" sheetId="2" state="visible" r:id="rId4"/>
    <sheet name="I6_V5 (Formula)" sheetId="3" state="visible" r:id="rId5"/>
    <sheet name="Final_CB_I6_V5" sheetId="4" state="visible" r:id="rId6"/>
    <sheet name="ML6_V5 (Formula)" sheetId="5" state="visible" r:id="rId7"/>
    <sheet name="Final_CB_ML6_V5" sheetId="6" state="visible" r:id="rId8"/>
    <sheet name="ML3_V5 (Formula)" sheetId="7" state="visible" r:id="rId9"/>
    <sheet name="Final_CB_ML3_V5" sheetId="8" state="visible" r:id="rId10"/>
    <sheet name="O4_V5 (Formula)" sheetId="9" state="visible" r:id="rId11"/>
    <sheet name="Final_CB_O4_V5" sheetId="10" state="visible" r:id="rId12"/>
    <sheet name="O2_V5 (Formula)" sheetId="11" state="visible" r:id="rId13"/>
    <sheet name="Final_CB_O2_V5" sheetId="12" state="visible" r:id="rId14"/>
    <sheet name="B1_V5 (Formula)" sheetId="13" state="visible" r:id="rId15"/>
    <sheet name="Final_CB_B1_V5" sheetId="14" state="visible" r:id="rId16"/>
    <sheet name="B2_V5 (Formula)" sheetId="15" state="visible" r:id="rId17"/>
    <sheet name="Final_CB_B2_V5" sheetId="16" state="visible" r:id="rId18"/>
    <sheet name="B3_V5 (Formula)" sheetId="17" state="visible" r:id="rId19"/>
    <sheet name="Final_CB_B3_V5" sheetId="18" state="visible" r:id="rId20"/>
    <sheet name="R8_V5 (Formula)" sheetId="19" state="visible" r:id="rId21"/>
    <sheet name="Final_CB_R8_V5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<sst xmlns="http://schemas.openxmlformats.org/spreadsheetml/2006/main" count="8765" uniqueCount="2822">
  <si>
    <t xml:space="preserve">L_codes</t>
  </si>
  <si>
    <t xml:space="preserve">Already merged?</t>
  </si>
  <si>
    <t xml:space="preserve">A_codes</t>
  </si>
  <si>
    <t xml:space="preserve">Common Codes</t>
  </si>
  <si>
    <t xml:space="preserve">Lukas not in common codes</t>
  </si>
  <si>
    <t xml:space="preserve">Ana not in common codes</t>
  </si>
  <si>
    <t xml:space="preserve">addition::of::performance::tests</t>
  </si>
  <si>
    <t xml:space="preserve">agreeing::possible::solution</t>
  </si>
  <si>
    <t xml:space="preserve">addition::of::tests</t>
  </si>
  <si>
    <t xml:space="preserve">also::required::on::other::branch</t>
  </si>
  <si>
    <t xml:space="preserve">also::required::on::other::branch::(link::review)</t>
  </si>
  <si>
    <t xml:space="preserve">agreeing::possible::solution::(code::in::text)</t>
  </si>
  <si>
    <t xml:space="preserve">alternate::solution::to::fix</t>
  </si>
  <si>
    <t xml:space="preserve">aknowledging::that:previous::fixes::helped::but::still:.a::bug</t>
  </si>
  <si>
    <t xml:space="preserve">ask::for::testing::of::the::proposed::changed</t>
  </si>
  <si>
    <t xml:space="preserve">asking::for::clarification::(culprit::regression)</t>
  </si>
  <si>
    <t xml:space="preserve">asking::clarification::about::details::on::the::involved::hardware</t>
  </si>
  <si>
    <t xml:space="preserve">asking::for::clarification::about::when::the::bug::is::present</t>
  </si>
  <si>
    <t xml:space="preserve">asking::clarification::about::the::development::process::(releasing::time)</t>
  </si>
  <si>
    <t xml:space="preserve">asking::for::clarification::expected::behaviour</t>
  </si>
  <si>
    <t xml:space="preserve">asking::for::clarification::about::possible::fix</t>
  </si>
  <si>
    <t xml:space="preserve">asking::for::clarification::status::release</t>
  </si>
  <si>
    <t xml:space="preserve">asking::for::clarification::about::the::reason::of::regression::bug</t>
  </si>
  <si>
    <t xml:space="preserve">asking::for::examples::when::bug::is::present</t>
  </si>
  <si>
    <t xml:space="preserve">asking::for::explanation::for::observed::behaviour</t>
  </si>
  <si>
    <t xml:space="preserve">asking::for::status::of::issue</t>
  </si>
  <si>
    <t xml:space="preserve">asking::for::steps::to::replicate::the::bug</t>
  </si>
  <si>
    <t xml:space="preserve">asking::to::verify::bug::not::present::(specific::version)</t>
  </si>
  <si>
    <t xml:space="preserve">asking::for::replicating::the::bug</t>
  </si>
  <si>
    <t xml:space="preserve">asking::version::of::elasticsearch:::in::which::the::bug::was::found</t>
  </si>
  <si>
    <t xml:space="preserve">asking::version::of::nova:::in::which::the::bug::was::found</t>
  </si>
  <si>
    <t xml:space="preserve">assesment::effort</t>
  </si>
  <si>
    <t xml:space="preserve">assesment::effort::(non::trivial)</t>
  </si>
  <si>
    <t xml:space="preserve">assignation::of::the::bug</t>
  </si>
  <si>
    <t xml:space="preserve">bug::due::to::bad::testing</t>
  </si>
  <si>
    <t xml:space="preserve">bugs::related::affected::by::similar::errors</t>
  </si>
  <si>
    <t xml:space="preserve">bug::in::unused::feature</t>
  </si>
  <si>
    <t xml:space="preserve">change::abandoned::by::the::one::who::proposed::changes</t>
  </si>
  <si>
    <t xml:space="preserve">cannot::provide::requested::information::(examples)</t>
  </si>
  <si>
    <t xml:space="preserve">change::abandoned::by::the::responsible</t>
  </si>
  <si>
    <t xml:space="preserve">change::abandoned::by::the::responsible::not::main::branch</t>
  </si>
  <si>
    <t xml:space="preserve">change::abandoned::by::the::responsible::(review1)</t>
  </si>
  <si>
    <t xml:space="preserve">change::abandoned::by::the::unknown::not:.main::branch</t>
  </si>
  <si>
    <t xml:space="preserve">change::abandoned::by::the::responsible::(review1)::not::main::branch</t>
  </si>
  <si>
    <t xml:space="preserve">change::the::status::of::the::bug</t>
  </si>
  <si>
    <t xml:space="preserve">change::abandoned::by::the::responsible::(review2)</t>
  </si>
  <si>
    <t xml:space="preserve">change1::abandoned::by::the::responsible</t>
  </si>
  <si>
    <t xml:space="preserve">change::abandoned::by::the::responsible::(review3)</t>
  </si>
  <si>
    <t xml:space="preserve">change2::abandoned::by::the::responsible</t>
  </si>
  <si>
    <t xml:space="preserve">change::abandoned::by::the::responsible::(review5)::not::main::branch</t>
  </si>
  <si>
    <t xml:space="preserve">changed::original::description::(link::to::original::description)</t>
  </si>
  <si>
    <t xml:space="preserve">clarification::about::the::development::process::(milestones)</t>
  </si>
  <si>
    <t xml:space="preserve">change::abandoned::with::reason::(branch::end::of::life)</t>
  </si>
  <si>
    <t xml:space="preserve">clarification::about::the::problem::identified::as::culprit::for::regression</t>
  </si>
  <si>
    <t xml:space="preserve">change::request</t>
  </si>
  <si>
    <t xml:space="preserve">clarification::about::the:.bug::source</t>
  </si>
  <si>
    <t xml:space="preserve">clarification::about::when::the:.bug::source</t>
  </si>
  <si>
    <t xml:space="preserve">changing::priority::(higher)</t>
  </si>
  <si>
    <t xml:space="preserve">clarification::about::where::the::bug::occurs</t>
  </si>
  <si>
    <t xml:space="preserve">chat::messages::external::service</t>
  </si>
  <si>
    <t xml:space="preserve">clarification::of::software::versions::affected::by::the::bug</t>
  </si>
  <si>
    <t xml:space="preserve">circumstances::where::bug::appears</t>
  </si>
  <si>
    <t xml:space="preserve">cleaning::and::creation::branches::for::the::proposed::fix</t>
  </si>
  <si>
    <t xml:space="preserve">cites::documentation</t>
  </si>
  <si>
    <t xml:space="preserve">command::line::output</t>
  </si>
  <si>
    <t xml:space="preserve">committed::fix::fixed::the::bug</t>
  </si>
  <si>
    <t xml:space="preserve">confimation::that::the::bug::is::duplicated::and::fixed</t>
  </si>
  <si>
    <t xml:space="preserve">contains::logs::links::of::the::behaviour</t>
  </si>
  <si>
    <t xml:space="preserve">compatibility</t>
  </si>
  <si>
    <t xml:space="preserve">criticallity::of::properties::that::are::affected::by::the::bug</t>
  </si>
  <si>
    <t xml:space="preserve">complex::changes::in::review::(specifically::tests)</t>
  </si>
  <si>
    <t xml:space="preserve">culprit::related::to::identified::regression::(link::to::commit)</t>
  </si>
  <si>
    <t xml:space="preserve">configuration::of::nova::where::the::bug::was::found</t>
  </si>
  <si>
    <t xml:space="preserve">culprit::related::to::identified::regression::(link::to::review)</t>
  </si>
  <si>
    <t xml:space="preserve">details::on::the::involved::hardware</t>
  </si>
  <si>
    <t xml:space="preserve">confirmation::issue::is::bug</t>
  </si>
  <si>
    <t xml:space="preserve">disagreeing::bug::description</t>
  </si>
  <si>
    <t xml:space="preserve">content::of::possible::fix</t>
  </si>
  <si>
    <t xml:space="preserve">displays::error::message</t>
  </si>
  <si>
    <t xml:space="preserve">culprit::related::to::identified::regression</t>
  </si>
  <si>
    <t xml:space="preserve">displays::error::message::(logs)</t>
  </si>
  <si>
    <t xml:space="preserve">displays::logs::of::the::behaviour</t>
  </si>
  <si>
    <t xml:space="preserve">culprit::related::to::identified::regression::(link::to::issue)</t>
  </si>
  <si>
    <t xml:space="preserve">displays::logs::of::the::behaviour::with:.extra::debugging</t>
  </si>
  <si>
    <t xml:space="preserve">displays::logs::of::the::behaviour::with:.extra::explanation</t>
  </si>
  <si>
    <t xml:space="preserve">debugging</t>
  </si>
  <si>
    <t xml:space="preserve">displays:.contradiction::tests::sucess::and::log</t>
  </si>
  <si>
    <t xml:space="preserve">desired::behaviour</t>
  </si>
  <si>
    <t xml:space="preserve">disussing::possible::solutions</t>
  </si>
  <si>
    <t xml:space="preserve">example::output</t>
  </si>
  <si>
    <t xml:space="preserve">expected::behaviour</t>
  </si>
  <si>
    <t xml:space="preserve">discussing::correct::use::of::issue::tracker</t>
  </si>
  <si>
    <t xml:space="preserve">expected::behaviour::(example::from::previous::version)</t>
  </si>
  <si>
    <t xml:space="preserve">expected::behaviour::(output::previous::version)</t>
  </si>
  <si>
    <t xml:space="preserve">expected::behaviour::(output)</t>
  </si>
  <si>
    <t xml:space="preserve">displays::logs::of::previous::behaviour</t>
  </si>
  <si>
    <t xml:space="preserve">explanation::for::observed::behaviour</t>
  </si>
  <si>
    <t xml:space="preserve">explanation::why::two::differemt::reviews::are::proposed</t>
  </si>
  <si>
    <t xml:space="preserve">fix::merged::related::hash::commit</t>
  </si>
  <si>
    <t xml:space="preserve">identify::specific::problem::causing::the::bug::regression</t>
  </si>
  <si>
    <t xml:space="preserve">identifying::bug::fixed::elsewhere::(link::file::other::package)</t>
  </si>
  <si>
    <t xml:space="preserve">identifying::the::bug::duplication</t>
  </si>
  <si>
    <t xml:space="preserve">expected::behaviour::(logs::from::previous::version)</t>
  </si>
  <si>
    <t xml:space="preserve">if:.fix::has:.fixed::or::not::the::bug</t>
  </si>
  <si>
    <t xml:space="preserve">implications::of::the::changes::needed::to::fix::the::bug</t>
  </si>
  <si>
    <t xml:space="preserve">failing::test</t>
  </si>
  <si>
    <t xml:space="preserve">inconsistencies::of::the::bahaviour::of::patched/modified::code</t>
  </si>
  <si>
    <t xml:space="preserve">feature::request</t>
  </si>
  <si>
    <t xml:space="preserve">incorporate::the::change::into::a::different::project</t>
  </si>
  <si>
    <t xml:space="preserve">fix::is::partial::fix</t>
  </si>
  <si>
    <t xml:space="preserve">information::commited::fix::(link::commit::not::related::to::any::previous::review)</t>
  </si>
  <si>
    <t xml:space="preserve">fix::merged</t>
  </si>
  <si>
    <t xml:space="preserve">information::commited::fix::(link::commit::not::related::to::any::previous::review2)</t>
  </si>
  <si>
    <t xml:space="preserve">fix::merged::(link::review1)</t>
  </si>
  <si>
    <t xml:space="preserve">information::commited::fix::(link::commit)</t>
  </si>
  <si>
    <t xml:space="preserve">fix::merged::(link::review1)::not::main::branch</t>
  </si>
  <si>
    <t xml:space="preserve">information::commited::fix::(link::commit)::not::main::branch</t>
  </si>
  <si>
    <t xml:space="preserve">fix::merged::(link::review1)::related::fix</t>
  </si>
  <si>
    <t xml:space="preserve">information::commited::fix::(link::commit2)</t>
  </si>
  <si>
    <t xml:space="preserve">fix::merged::(link::review2)</t>
  </si>
  <si>
    <t xml:space="preserve">information::commited::fix::(link::commit2)::not::main::branch</t>
  </si>
  <si>
    <t xml:space="preserve">fix::merged::(link::review2)::not::main::branch</t>
  </si>
  <si>
    <t xml:space="preserve">information::commited::fix::(link::commit3)</t>
  </si>
  <si>
    <t xml:space="preserve">fix::merged::(link::review2)::related::fix</t>
  </si>
  <si>
    <t xml:space="preserve">information::commited::fix::(link::commit4)</t>
  </si>
  <si>
    <t xml:space="preserve">fix::merged::(link::review3)</t>
  </si>
  <si>
    <t xml:space="preserve">information::commited::related::fix::(link::commit)</t>
  </si>
  <si>
    <t xml:space="preserve">fix::merged::(link::review3)::not::main::branch</t>
  </si>
  <si>
    <t xml:space="preserve">information::PR::fix</t>
  </si>
  <si>
    <t xml:space="preserve">fix::merged::(link::review4)::related::fix</t>
  </si>
  <si>
    <t xml:space="preserve">informing::backporting</t>
  </si>
  <si>
    <t xml:space="preserve">fix::merged::not::main::branch</t>
  </si>
  <si>
    <t xml:space="preserve">informing::bug:.already::fixed</t>
  </si>
  <si>
    <t xml:space="preserve">fix::merged::related::fix</t>
  </si>
  <si>
    <t xml:space="preserve">informing::bug:.already::fixed::(release::name)</t>
  </si>
  <si>
    <t xml:space="preserve">fixed::elsewhere::confirmed</t>
  </si>
  <si>
    <t xml:space="preserve">instructions::of::what::to::do::if::a::regression::is::found::in::the::feature</t>
  </si>
  <si>
    <t xml:space="preserve">issue::closed::(revision::hash)</t>
  </si>
  <si>
    <t xml:space="preserve">identifying::bug::fixed::elsewhere::(link::review)</t>
  </si>
  <si>
    <t xml:space="preserve">issues::related::(link::issue::external)</t>
  </si>
  <si>
    <t xml:space="preserve">identifying::bug::fixed::elsewhere::(revision::hash)</t>
  </si>
  <si>
    <t xml:space="preserve">issues::related::(link::issue)</t>
  </si>
  <si>
    <t xml:space="preserve">information::commited::fix</t>
  </si>
  <si>
    <t xml:space="preserve">joining::previously:.mentioned::reasons::for::the::continuation::of::bug</t>
  </si>
  <si>
    <t xml:space="preserve">information::related::fix::merged::(no::source)</t>
  </si>
  <si>
    <t xml:space="preserve">justification::of::changing::triage</t>
  </si>
  <si>
    <t xml:space="preserve">justification::of:.the::regression::identified</t>
  </si>
  <si>
    <t xml:space="preserve">informing::status::release</t>
  </si>
  <si>
    <t xml:space="preserve">opening::new:.bug::based::on::previous::discussion</t>
  </si>
  <si>
    <t xml:space="preserve">informing::taking::responsibility::for::solving::issue</t>
  </si>
  <si>
    <t xml:space="preserve">originally::reported::elsewhere::(link::github)</t>
  </si>
  <si>
    <t xml:space="preserve">introducing::commit::(link::github)</t>
  </si>
  <si>
    <t xml:space="preserve">presence::of::bug::in::other::branches</t>
  </si>
  <si>
    <t xml:space="preserve">presence::of::bug::in::other::branches::packages</t>
  </si>
  <si>
    <t xml:space="preserve">proposal::of::a::possible::fix::(code::in::text)</t>
  </si>
  <si>
    <t xml:space="preserve">issues::related::(link::launchpad)</t>
  </si>
  <si>
    <t xml:space="preserve">proposal::of::a::possible::fix::(debdiff)::not::main::branch</t>
  </si>
  <si>
    <t xml:space="preserve">link::review</t>
  </si>
  <si>
    <t xml:space="preserve">proposal::of::a::possible::fix::(debdiff)::not::main::branch::not::nova</t>
  </si>
  <si>
    <t xml:space="preserve">link::review3</t>
  </si>
  <si>
    <t xml:space="preserve">proposal::of::a::possible::fix::(diff::in::text)</t>
  </si>
  <si>
    <t xml:space="preserve">link::to::commit::(github)</t>
  </si>
  <si>
    <t xml:space="preserve">proposal::of::a::possible::fix::(gist)</t>
  </si>
  <si>
    <t xml:space="preserve">link::to::file::(github)</t>
  </si>
  <si>
    <t xml:space="preserve">proposal::of::a::possible::fix::(idea)</t>
  </si>
  <si>
    <t xml:space="preserve">link::to::pastebin</t>
  </si>
  <si>
    <t xml:space="preserve">proposal::of::a::possible::fix::(link::patch)</t>
  </si>
  <si>
    <t xml:space="preserve">link::to::review</t>
  </si>
  <si>
    <t xml:space="preserve">proposal::of::a::possible::fix::(link::review)</t>
  </si>
  <si>
    <t xml:space="preserve">objection::asking::for::examples::when::bug::is::present</t>
  </si>
  <si>
    <t xml:space="preserve">proposal::of::a::possible::fix::(link::review)::not::main::branch</t>
  </si>
  <si>
    <t xml:space="preserve">proposal::of::a::possible::fix::(link::review2)</t>
  </si>
  <si>
    <t xml:space="preserve">packages::affected::by::bug</t>
  </si>
  <si>
    <t xml:space="preserve">proposal::of::a::possible::fix::(link::review2)::not::main::branch</t>
  </si>
  <si>
    <t xml:space="preserve">performance::(timeout)</t>
  </si>
  <si>
    <t xml:space="preserve">proposal::of::a::possible::fix::(link::review2)::not::main:.branch</t>
  </si>
  <si>
    <t xml:space="preserve">potential::source::of::the::bug::(link::commit)</t>
  </si>
  <si>
    <t xml:space="preserve">proposal::of::a::possible::fix::(link::review3)</t>
  </si>
  <si>
    <t xml:space="preserve">progress::update::fix::(tests::added)</t>
  </si>
  <si>
    <t xml:space="preserve">proposal::of::a::possible::fix::(link::review4)</t>
  </si>
  <si>
    <t xml:space="preserve">proposal::of::a::possible::fix::(link::review5)</t>
  </si>
  <si>
    <t xml:space="preserve">proposal::of::a::possible::fix::(package)::not::main::branch</t>
  </si>
  <si>
    <t xml:space="preserve">proposal::of::a::possible::related::fix::(link::review)</t>
  </si>
  <si>
    <t xml:space="preserve">proposes::workaround::(code::in::text)</t>
  </si>
  <si>
    <t xml:space="preserve">providing::advice::coding</t>
  </si>
  <si>
    <t xml:space="preserve">providing::clarification::about::the::development::process::(releasing::time)</t>
  </si>
  <si>
    <t xml:space="preserve">providing::clarification::about::when::the::bug::is::present</t>
  </si>
  <si>
    <t xml:space="preserve">providing::clarification::expected::behaviour</t>
  </si>
  <si>
    <t xml:space="preserve">proposal::of::a::possible::fix::(link::review1)</t>
  </si>
  <si>
    <t xml:space="preserve">providing::clarification::status::release</t>
  </si>
  <si>
    <t xml:space="preserve">proposal::of::a::possible::fix::(link::review1)::not::main::branch</t>
  </si>
  <si>
    <t xml:space="preserve">providing::example::when::bug::is::not::present</t>
  </si>
  <si>
    <t xml:space="preserve">providing::example::when::bug::is::present</t>
  </si>
  <si>
    <t xml:space="preserve">providing::example::when::bug::is::present2</t>
  </si>
  <si>
    <t xml:space="preserve">question::version::of::software::in::which::the::bug::was::found</t>
  </si>
  <si>
    <t xml:space="preserve">proposal::of::a::possible::fix::(link::review3)::not::main::branch</t>
  </si>
  <si>
    <t xml:space="preserve">re::opening::bug</t>
  </si>
  <si>
    <t xml:space="preserve">proposal::of::a::possible::fix::(link::review5)::not::main::branch</t>
  </si>
  <si>
    <t xml:space="preserve">reason::for::abandoning::the::change</t>
  </si>
  <si>
    <t xml:space="preserve">proposal::of::a::possible::fix::(PR)</t>
  </si>
  <si>
    <t xml:space="preserve">reason::for::abandoning::the::change::(in::favour::of::another::review)</t>
  </si>
  <si>
    <t xml:space="preserve">proposal::of::a::related::fix::(link::review1)</t>
  </si>
  <si>
    <t xml:space="preserve">reason::for::abandoning::the::change::not::main::branch::(not::longer::needed)</t>
  </si>
  <si>
    <t xml:space="preserve">proposal::of::a::related::fix::(link::review2)</t>
  </si>
  <si>
    <t xml:space="preserve">reason::for::abandoning::the::change1</t>
  </si>
  <si>
    <t xml:space="preserve">proposal::of::a::related::fix::(link::review3)</t>
  </si>
  <si>
    <t xml:space="preserve">reason::for::abandoning::the::change2</t>
  </si>
  <si>
    <t xml:space="preserve">proposal::of::a::related::fix::(link::review4)</t>
  </si>
  <si>
    <t xml:space="preserve">reason::for::abandoning::the::change3</t>
  </si>
  <si>
    <t xml:space="preserve">proposes::refactoring</t>
  </si>
  <si>
    <t xml:space="preserve">reason::of::the::bug</t>
  </si>
  <si>
    <t xml:space="preserve">reason::of::the::bug::disagreeing::with::previous::given::reason</t>
  </si>
  <si>
    <t xml:space="preserve">proposes::workaround::(diff::in::text)</t>
  </si>
  <si>
    <t xml:space="preserve">reason::of::the::continuation::of::bug::after::fix</t>
  </si>
  <si>
    <t xml:space="preserve">providing::clarification::(culprit::regression)</t>
  </si>
  <si>
    <t xml:space="preserve">reason::of::the::regression</t>
  </si>
  <si>
    <t xml:space="preserve">providing::clarification::expected::behaboiur</t>
  </si>
  <si>
    <t xml:space="preserve">reason::of::why::the::persistent::bug::could::be:.a::different/another::bug</t>
  </si>
  <si>
    <t xml:space="preserve">reason::why::the::suggested::solution::for::regression::can::not::be::conducted</t>
  </si>
  <si>
    <t xml:space="preserve">referes::to::mailinglist</t>
  </si>
  <si>
    <t xml:space="preserve">regression::identified::while::solving::the::bug</t>
  </si>
  <si>
    <t xml:space="preserve">providing::example::when::bug::is::present1</t>
  </si>
  <si>
    <t xml:space="preserve">related::release::hash::commit</t>
  </si>
  <si>
    <t xml:space="preserve">relevance::of::previous::attachments</t>
  </si>
  <si>
    <t xml:space="preserve">request::steps::for::reproducing</t>
  </si>
  <si>
    <t xml:space="preserve">request::to::check::if::an::attached::review::solve::the::bug</t>
  </si>
  <si>
    <t xml:space="preserve">review::not::label::as::fix</t>
  </si>
  <si>
    <t xml:space="preserve">regression::identified</t>
  </si>
  <si>
    <t xml:space="preserve">similar::bug::(link::bug)</t>
  </si>
  <si>
    <t xml:space="preserve">reminder::bug::status::(still::active)</t>
  </si>
  <si>
    <t xml:space="preserve">some::version::of::the::software::where::it::was::identified::and::in::which::not</t>
  </si>
  <si>
    <t xml:space="preserve">request::confimation::that::the::bug::is::duplicated::and::fixed</t>
  </si>
  <si>
    <t xml:space="preserve">source::of::the::bug</t>
  </si>
  <si>
    <t xml:space="preserve">request::steps::for::reproducing::(more::information)</t>
  </si>
  <si>
    <t xml:space="preserve">source::of::the::bug::(changeID)</t>
  </si>
  <si>
    <t xml:space="preserve">response::arguing::issue::fixed</t>
  </si>
  <si>
    <t xml:space="preserve">source::of::the::bug::(code::in::text)</t>
  </si>
  <si>
    <t xml:space="preserve">response::arguing::issue::not::fixed</t>
  </si>
  <si>
    <t xml:space="preserve">source::of::the::bug::(file::path)</t>
  </si>
  <si>
    <t xml:space="preserve">response::confirming::issue::existence</t>
  </si>
  <si>
    <t xml:space="preserve">source::of::the::bug::(link::blame)</t>
  </si>
  <si>
    <t xml:space="preserve">response::confirms::workaround::working</t>
  </si>
  <si>
    <t xml:space="preserve">source::of::the::bug::(link::commit)</t>
  </si>
  <si>
    <t xml:space="preserve">source::of::the::bug::(link::repo)</t>
  </si>
  <si>
    <t xml:space="preserve">situation::where::the::bug::appears</t>
  </si>
  <si>
    <t xml:space="preserve">source::of::the::bug::(link::review)</t>
  </si>
  <si>
    <t xml:space="preserve">solution::found</t>
  </si>
  <si>
    <t xml:space="preserve">source::of::the::bug::(revision::hash)</t>
  </si>
  <si>
    <t xml:space="preserve">source::of::the::continuation::of::bug::after::fix</t>
  </si>
  <si>
    <t xml:space="preserve">source::of::the::continuation::of::bug::after::fix3</t>
  </si>
  <si>
    <t xml:space="preserve">source::of::the::regression::(link::repo)</t>
  </si>
  <si>
    <t xml:space="preserve">source::of::the::bug::(diff::in::text)</t>
  </si>
  <si>
    <t xml:space="preserve">source::of::the::regression::(link::review)</t>
  </si>
  <si>
    <t xml:space="preserve">status::of::the::patch/review</t>
  </si>
  <si>
    <t xml:space="preserve">steps::to::replicate::the::bug</t>
  </si>
  <si>
    <t xml:space="preserve">source::of::the::bug::(refactoring)</t>
  </si>
  <si>
    <t xml:space="preserve">steps::to::replicate::the::bug::(link::gist)</t>
  </si>
  <si>
    <t xml:space="preserve">steps::to::replicate::the::bug::(link::tool)</t>
  </si>
  <si>
    <t xml:space="preserve">steps::to::replicate::the::bug::(test)</t>
  </si>
  <si>
    <t xml:space="preserve">subscribing::external::sponsors::for::the::bug</t>
  </si>
  <si>
    <t xml:space="preserve">steps::to::replicate::the::bug::(low::detail)</t>
  </si>
  <si>
    <t xml:space="preserve">time::used::to::work::on::the::BFC::review</t>
  </si>
  <si>
    <t xml:space="preserve">unsubscribing::external::sponsors</t>
  </si>
  <si>
    <t xml:space="preserve">version::of::elasticsearch:::in::which::the::bug::was::found</t>
  </si>
  <si>
    <t xml:space="preserve">suggests::documentation</t>
  </si>
  <si>
    <t xml:space="preserve">version::of::nova:::in::which::the::bug::was::found</t>
  </si>
  <si>
    <t xml:space="preserve">test::logs</t>
  </si>
  <si>
    <t xml:space="preserve">version::of::operating::system::affected</t>
  </si>
  <si>
    <t xml:space="preserve">test::logs::(external::link::404)</t>
  </si>
  <si>
    <t xml:space="preserve">what::is::the::bug::causing</t>
  </si>
  <si>
    <t xml:space="preserve">when::is::the::bug::present</t>
  </si>
  <si>
    <t xml:space="preserve">undesired::behaviour</t>
  </si>
  <si>
    <t xml:space="preserve">where::bug::appears</t>
  </si>
  <si>
    <t xml:space="preserve">why::change::is::required</t>
  </si>
  <si>
    <t xml:space="preserve">why::this::is::a::problem</t>
  </si>
  <si>
    <t xml:space="preserve">will::verify::bug::not::present::(specific::version)</t>
  </si>
  <si>
    <t xml:space="preserve">Final Merged codes</t>
  </si>
  <si>
    <t xml:space="preserve">Lukas</t>
  </si>
  <si>
    <t xml:space="preserve">Ana</t>
  </si>
  <si>
    <t xml:space="preserve">change_requesting::(tests)</t>
  </si>
  <si>
    <t xml:space="preserve">refactoring_requesting</t>
  </si>
  <si>
    <t xml:space="preserve">change_requesting::(solution::design)</t>
  </si>
  <si>
    <t xml:space="preserve">change_informing::(solution::design)</t>
  </si>
  <si>
    <t xml:space="preserve">change_discussing::(solution::design)</t>
  </si>
  <si>
    <t xml:space="preserve">change_informing::(maintainability::and::compatibility)</t>
  </si>
  <si>
    <t xml:space="preserve">change_informing::(bug::fix::link)</t>
  </si>
  <si>
    <t xml:space="preserve">change_informing::(bug::fix)</t>
  </si>
  <si>
    <t xml:space="preserve">change_requesting::(documentation)</t>
  </si>
  <si>
    <t xml:space="preserve">issue_informing::(feature::request)</t>
  </si>
  <si>
    <t xml:space="preserve">development::process_informing::(progress)</t>
  </si>
  <si>
    <t xml:space="preserve">development::process_requesting::(progress)</t>
  </si>
  <si>
    <t xml:space="preserve">development::process_discussing::(progress)</t>
  </si>
  <si>
    <t xml:space="preserve">development::process_informing::(changes::made)</t>
  </si>
  <si>
    <t xml:space="preserve">development::process_informing::(changes::merged::link)</t>
  </si>
  <si>
    <t xml:space="preserve">development::process_informing::(changes::merged)</t>
  </si>
  <si>
    <t xml:space="preserve">development::process_discussing::(triage)</t>
  </si>
  <si>
    <t xml:space="preserve">development::process_informing::(triage::link)</t>
  </si>
  <si>
    <t xml:space="preserve">development::process_informing::(triage)</t>
  </si>
  <si>
    <t xml:space="preserve">development::process_discussing::(intended::process)</t>
  </si>
  <si>
    <t xml:space="preserve">development::process_informing::(intended::process)</t>
  </si>
  <si>
    <t xml:space="preserve">development::process_discussing::(documentation)</t>
  </si>
  <si>
    <t xml:space="preserve">development::process_informing::(documentation::modified)</t>
  </si>
  <si>
    <t xml:space="preserve">development::process_informing::(implemented::elsewhere)</t>
  </si>
  <si>
    <t xml:space="preserve">development::process_informing::(implemented::elsewhere::link)</t>
  </si>
  <si>
    <t xml:space="preserve">development::process_requesting::(implemented::elsewhere)</t>
  </si>
  <si>
    <t xml:space="preserve">issue_informing::(solution::design)</t>
  </si>
  <si>
    <t xml:space="preserve">issue_discussing::(solution::design)</t>
  </si>
  <si>
    <t xml:space="preserve">issue_requesting::(solution::design)</t>
  </si>
  <si>
    <t xml:space="preserve">issue_discussing::(when::present)</t>
  </si>
  <si>
    <t xml:space="preserve">issue_informing::(when::present)</t>
  </si>
  <si>
    <t xml:space="preserve">issue_requesting::(when::present)</t>
  </si>
  <si>
    <t xml:space="preserve">issue_requesting::(wrong::behavior)</t>
  </si>
  <si>
    <t xml:space="preserve">issue_informing::(wrong::behavior)</t>
  </si>
  <si>
    <t xml:space="preserve">issue_informing::(reason::for::bug)</t>
  </si>
  <si>
    <t xml:space="preserve">issue_discussing::(reason::for::bug)</t>
  </si>
  <si>
    <t xml:space="preserve">issue_informing::(source)</t>
  </si>
  <si>
    <t xml:space="preserve">issue_informing::(source::link)</t>
  </si>
  <si>
    <t xml:space="preserve">issue_requesting::(source)</t>
  </si>
  <si>
    <t xml:space="preserve">issue_informing::(logs::and::debugging)</t>
  </si>
  <si>
    <t xml:space="preserve">issue_informing::(logs::and::debugging::link)</t>
  </si>
  <si>
    <t xml:space="preserve">issue_informing::(related::bug::link)</t>
  </si>
  <si>
    <t xml:space="preserve">issue_discussing::(related::bug)</t>
  </si>
  <si>
    <t xml:space="preserve">issue_informing::(how::to::replicate)</t>
  </si>
  <si>
    <t xml:space="preserve">issue_informing::(how::to::replicate::link)</t>
  </si>
  <si>
    <t xml:space="preserve">issue_requesting::(how::to::replicate)</t>
  </si>
  <si>
    <t xml:space="preserve">issue_informing::(expected::behavior)</t>
  </si>
  <si>
    <t xml:space="preserve">issue_requesting::(expected::behavior)</t>
  </si>
  <si>
    <t xml:space="preserve">issue_informing::(related::review::link)</t>
  </si>
  <si>
    <t xml:space="preserve">issue_informing::(related::mail)</t>
  </si>
  <si>
    <t xml:space="preserve">change_informing::(abandon::change)</t>
  </si>
  <si>
    <t xml:space="preserve">change_informing::(abandon::change::other::branch)</t>
  </si>
  <si>
    <t xml:space="preserve">change_discussing::(abandon::change)</t>
  </si>
  <si>
    <t xml:space="preserve">change_discussing::(abandon::change::other::branch)</t>
  </si>
  <si>
    <t xml:space="preserve">ref::other::discussion::source</t>
  </si>
  <si>
    <t xml:space="preserve">agreement::objection</t>
  </si>
  <si>
    <t xml:space="preserve">agreeing::opinion::(not::common)</t>
  </si>
  <si>
    <t xml:space="preserve">agreement::oppinion::(task::is::out::of::the::ordinary)</t>
  </si>
  <si>
    <t xml:space="preserve">agreement::potential::bug</t>
  </si>
  <si>
    <t xml:space="preserve">approval::BP/feature</t>
  </si>
  <si>
    <t xml:space="preserve">agreement::potential::bug::not::a::bug</t>
  </si>
  <si>
    <t xml:space="preserve">approved::freeze::exception::(FFE)</t>
  </si>
  <si>
    <t xml:space="preserve">asking::about::availability::feature</t>
  </si>
  <si>
    <t xml:space="preserve">asking::about::development::process::(schedule/time)</t>
  </si>
  <si>
    <t xml:space="preserve">asking::about::development::process::(why::blocked)</t>
  </si>
  <si>
    <t xml:space="preserve">asking::about::development::progress</t>
  </si>
  <si>
    <t xml:space="preserve">asking::about::release::timeline</t>
  </si>
  <si>
    <t xml:space="preserve">asking::clarification::about::Qualitty::attributes::(consistency)</t>
  </si>
  <si>
    <t xml:space="preserve">asking::for:.clarification::reason::of::the::bug</t>
  </si>
  <si>
    <t xml:space="preserve">asking::for::assistance::(confirming::bug)</t>
  </si>
  <si>
    <t xml:space="preserve">asking::for::assistance::(fix)</t>
  </si>
  <si>
    <t xml:space="preserve">asking::for::assistance::(status::bug)</t>
  </si>
  <si>
    <t xml:space="preserve">asking::for::assistance::(fix)::different::project</t>
  </si>
  <si>
    <t xml:space="preserve">asking::for::clarification::documentation</t>
  </si>
  <si>
    <t xml:space="preserve">asking::for::clarification::(purpose::BP)</t>
  </si>
  <si>
    <t xml:space="preserve">asking::for::clarification::intended::solution::design</t>
  </si>
  <si>
    <t xml:space="preserve">asking::for::clarification::about::current::implementation</t>
  </si>
  <si>
    <t xml:space="preserve">asking::for::clarification::intended::solution::design::(backwards::compatebility)</t>
  </si>
  <si>
    <t xml:space="preserve">asking::for::clarification::current::implementtaion</t>
  </si>
  <si>
    <t xml:space="preserve">asking::for::clarification::missing::documentation</t>
  </si>
  <si>
    <t xml:space="preserve">asking::for::clarification::proposal::change::solution::design::(minor)1</t>
  </si>
  <si>
    <t xml:space="preserve">asking::for::clarification::documentation::(issue)</t>
  </si>
  <si>
    <t xml:space="preserve">asking::for::clarification::regarding::implementation::details</t>
  </si>
  <si>
    <t xml:space="preserve">asking::for::clarification::documentation::(where)</t>
  </si>
  <si>
    <t xml:space="preserve">asking::for::clarification::regarding::previous::question</t>
  </si>
  <si>
    <t xml:space="preserve">asking::for::clarification::regarding::where::to::document</t>
  </si>
  <si>
    <t xml:space="preserve">asking::for::clarification::solution::design</t>
  </si>
  <si>
    <t xml:space="preserve">asking::for::code::for::solution</t>
  </si>
  <si>
    <t xml:space="preserve">asking::for::details::(nova::version)</t>
  </si>
  <si>
    <t xml:space="preserve">asking::for::clarification::proposal::change::solution::design::(minor)2</t>
  </si>
  <si>
    <t xml:space="preserve">asking::for::details::(query::used)</t>
  </si>
  <si>
    <t xml:space="preserve">asking::for::documentation</t>
  </si>
  <si>
    <t xml:space="preserve">asking::for::example::for::intended::usage1</t>
  </si>
  <si>
    <t xml:space="preserve">asking::for::example::for::intended::usage2</t>
  </si>
  <si>
    <t xml:space="preserve">asking::for::example::for::intended::usage3</t>
  </si>
  <si>
    <t xml:space="preserve">asking::for::feature::freeze::exception::(FFE)</t>
  </si>
  <si>
    <t xml:space="preserve">asking::for::example::for::intended::usage4</t>
  </si>
  <si>
    <t xml:space="preserve">asking::for::possible::usage</t>
  </si>
  <si>
    <t xml:space="preserve">asking::for::reasons::not::supporting::feature</t>
  </si>
  <si>
    <t xml:space="preserve">asking::for::milestone::selection</t>
  </si>
  <si>
    <t xml:space="preserve">asking::for::reasons::not::supporting::solution</t>
  </si>
  <si>
    <t xml:space="preserve">asking::for::testing</t>
  </si>
  <si>
    <t xml:space="preserve">back::porting::of::the::fix</t>
  </si>
  <si>
    <t xml:space="preserve">BP::is::continuation::of::other::BP</t>
  </si>
  <si>
    <t xml:space="preserve">bug::is::not::the::same::as::bug::already::fixed</t>
  </si>
  <si>
    <t xml:space="preserve">bug::confirmed::(master::branch)</t>
  </si>
  <si>
    <t xml:space="preserve">cause::of::another::bug::(explanation)</t>
  </si>
  <si>
    <t xml:space="preserve">cause::of::bug::(explanation)</t>
  </si>
  <si>
    <t xml:space="preserve">bug::is::special::version::of::related::bug</t>
  </si>
  <si>
    <t xml:space="preserve">causes::bug::(link::launchpad)::not::equal::fixed::bug</t>
  </si>
  <si>
    <t xml:space="preserve">change::abandoned::by::the::one::who::proposed::changes::not::main::branch</t>
  </si>
  <si>
    <t xml:space="preserve">cause::of::bug::(new::feature)</t>
  </si>
  <si>
    <t xml:space="preserve">change::in::implementation::status::(code::review)</t>
  </si>
  <si>
    <t xml:space="preserve">change::in::implementation::status::(implemented)</t>
  </si>
  <si>
    <t xml:space="preserve">change::in::priority::(medium)</t>
  </si>
  <si>
    <t xml:space="preserve">change::abandoned::by::the::responsible::(link::review1)</t>
  </si>
  <si>
    <t xml:space="preserve">change::abandoned::by::the::responsible::(link::review2)</t>
  </si>
  <si>
    <t xml:space="preserve">change::in::implementation::status::(in::progress)</t>
  </si>
  <si>
    <t xml:space="preserve">claim::of::responsibility::for::fix</t>
  </si>
  <si>
    <t xml:space="preserve">clarifying::development::process::(documentation::BP)</t>
  </si>
  <si>
    <t xml:space="preserve">code::reviews::required</t>
  </si>
  <si>
    <t xml:space="preserve">clarifying::development::process::(issue::tracker)</t>
  </si>
  <si>
    <t xml:space="preserve">clarifying::development::process::(justification::approach)</t>
  </si>
  <si>
    <t xml:space="preserve">commenting::development::process::(schedule/time)</t>
  </si>
  <si>
    <t xml:space="preserve">commenting::development::process::(why::blocked)</t>
  </si>
  <si>
    <t xml:space="preserve">contact::for::details</t>
  </si>
  <si>
    <t xml:space="preserve">covered::areas:.of::the::project:.in::the::bp/feature</t>
  </si>
  <si>
    <t xml:space="preserve">correction::of::previous::statement</t>
  </si>
  <si>
    <t xml:space="preserve">current::situation::(why::feature::is::needed)</t>
  </si>
  <si>
    <t xml:space="preserve">deadline::missed::feature:freeze</t>
  </si>
  <si>
    <t xml:space="preserve">dependencies::of::the::BP::in::development::process</t>
  </si>
  <si>
    <t xml:space="preserve">dependency::on::other::feature</t>
  </si>
  <si>
    <t xml:space="preserve">deferred::to::later::release</t>
  </si>
  <si>
    <t xml:space="preserve">disagreeing::suggestion::rename::variables</t>
  </si>
  <si>
    <t xml:space="preserve">deferred::to::later::release1</t>
  </si>
  <si>
    <t xml:space="preserve">disagreement::bug::already::fixed::(different::branch)</t>
  </si>
  <si>
    <t xml:space="preserve">disagreement::missing::documentation</t>
  </si>
  <si>
    <t xml:space="preserve">disagreement::potential::bug::found</t>
  </si>
  <si>
    <t xml:space="preserve">dependency::on::other::feature::(no::longer::given)</t>
  </si>
  <si>
    <t xml:space="preserve">disagreement::proposal::of::a::possible::solution::(explanation)</t>
  </si>
  <si>
    <t xml:space="preserve">dependency::tree</t>
  </si>
  <si>
    <t xml:space="preserve">discussing::inteded::solution::design</t>
  </si>
  <si>
    <t xml:space="preserve">discussing::inteded::solution::design::(join)</t>
  </si>
  <si>
    <t xml:space="preserve">discussing::potential::bug</t>
  </si>
  <si>
    <t xml:space="preserve">examples::of::affected::codes::with::the::BP</t>
  </si>
  <si>
    <t xml:space="preserve">done</t>
  </si>
  <si>
    <t xml:space="preserve">examples::of::wrong::behaviour</t>
  </si>
  <si>
    <t xml:space="preserve">dropping::some::patches::(outdated::feature)</t>
  </si>
  <si>
    <t xml:space="preserve">examples::of::wrong::behaviour::(in::specific::java::version)</t>
  </si>
  <si>
    <t xml:space="preserve">exceptions::of::expected::behaviour</t>
  </si>
  <si>
    <t xml:space="preserve">expectations::for::feature::freeze::exception::(FFE)</t>
  </si>
  <si>
    <t xml:space="preserve">expected::outcome</t>
  </si>
  <si>
    <t xml:space="preserve">expected::behaviour::(per::expected::functionallity)</t>
  </si>
  <si>
    <t xml:space="preserve">expected::outcome::(functionallities)</t>
  </si>
  <si>
    <t xml:space="preserve">expected::outcome::(functionallities::to::remove)</t>
  </si>
  <si>
    <t xml:space="preserve">expected::outcome::(performance::improvement)</t>
  </si>
  <si>
    <t xml:space="preserve">expected::outcome::(refactoring)</t>
  </si>
  <si>
    <t xml:space="preserve">expected::outcome::(per::expected::functionallity)</t>
  </si>
  <si>
    <t xml:space="preserve">expected::outcome::(use::of::existing::functionality)</t>
  </si>
  <si>
    <t xml:space="preserve">expired::freeze::exception::(FFE)</t>
  </si>
  <si>
    <t xml:space="preserve">explanation::of::log</t>
  </si>
  <si>
    <t xml:space="preserve">feature::deadline::missed</t>
  </si>
  <si>
    <t xml:space="preserve">explanation::of::log::(ignore::log)</t>
  </si>
  <si>
    <t xml:space="preserve">feature::description</t>
  </si>
  <si>
    <t xml:space="preserve">feature::description::(multiple::concerns)</t>
  </si>
  <si>
    <t xml:space="preserve">feature::documentation::link</t>
  </si>
  <si>
    <t xml:space="preserve">feature::documentation</t>
  </si>
  <si>
    <t xml:space="preserve">feature::freeze::exception::expired</t>
  </si>
  <si>
    <t xml:space="preserve">features:.deferring:.to::bugs</t>
  </si>
  <si>
    <t xml:space="preserve">fix::another::merged::(link::review::commit)</t>
  </si>
  <si>
    <t xml:space="preserve">fix::merged::(link::review::commit)</t>
  </si>
  <si>
    <t xml:space="preserve">feature::request::(improvement)</t>
  </si>
  <si>
    <t xml:space="preserve">fix::merged::(link::review::commit)::not:.main::branch</t>
  </si>
  <si>
    <t xml:space="preserve">fix::merged::(link::review)</t>
  </si>
  <si>
    <t xml:space="preserve">fix::merged::(link::review::commit2)</t>
  </si>
  <si>
    <t xml:space="preserve">fix::merged::(link::review)::not::main::branch</t>
  </si>
  <si>
    <t xml:space="preserve">fix::merged::(link::review::commit2)::not:.main::branch</t>
  </si>
  <si>
    <t xml:space="preserve">fix::merged::(link::review)::related::fix</t>
  </si>
  <si>
    <t xml:space="preserve">fix::merged::(link::review::commit3)</t>
  </si>
  <si>
    <t xml:space="preserve">fix::merged::(link::review)::related::fix::not::main::branch</t>
  </si>
  <si>
    <t xml:space="preserve">fix::merged::(link::review::commit3)::not:.main::branch</t>
  </si>
  <si>
    <t xml:space="preserve">fix::merged::(link::review::commit4)</t>
  </si>
  <si>
    <t xml:space="preserve">fix::merged::(link::review4)::related::fix::not::main::branch</t>
  </si>
  <si>
    <t xml:space="preserve">fix::merged::(link::review2::commit2)</t>
  </si>
  <si>
    <t xml:space="preserve">fix::merged::(link::review5)</t>
  </si>
  <si>
    <t xml:space="preserve">fix::merged::different::project</t>
  </si>
  <si>
    <t xml:space="preserve">fix::merged::(link::review::1)</t>
  </si>
  <si>
    <t xml:space="preserve">fix::summary</t>
  </si>
  <si>
    <t xml:space="preserve">fix::merged::(link::review::2)</t>
  </si>
  <si>
    <t xml:space="preserve">giving::opinion::about::components::of::code::(UUIDS)</t>
  </si>
  <si>
    <t xml:space="preserve">fix::merged::(link::review::3)</t>
  </si>
  <si>
    <t xml:space="preserve">history::of::the::BP/feature</t>
  </si>
  <si>
    <t xml:space="preserve">fix::merged::(link::review::4)</t>
  </si>
  <si>
    <t xml:space="preserve">impact::of::the::proposed::solution</t>
  </si>
  <si>
    <t xml:space="preserve">fix::merged::(link::review::5)</t>
  </si>
  <si>
    <t xml:space="preserve">indicate::sponsor</t>
  </si>
  <si>
    <t xml:space="preserve">forwarding::meeting::information</t>
  </si>
  <si>
    <t xml:space="preserve">informing::a::mistake::in::documention</t>
  </si>
  <si>
    <t xml:space="preserve">identifying::addressed::elsewhere::(link::review1)</t>
  </si>
  <si>
    <t xml:space="preserve">informing::bug::already::fixed::(different::branch)</t>
  </si>
  <si>
    <t xml:space="preserve">identifying::addressed::elsewhere::(link::review2)</t>
  </si>
  <si>
    <t xml:space="preserve">informing::bug::replaced::with::another</t>
  </si>
  <si>
    <t xml:space="preserve">informing::completness::BP</t>
  </si>
  <si>
    <t xml:space="preserve">implemented::elsewhere</t>
  </si>
  <si>
    <t xml:space="preserve">informing::completness::feature</t>
  </si>
  <si>
    <t xml:space="preserve">importance::of::issue::(high::importance)</t>
  </si>
  <si>
    <t xml:space="preserve">informing::final::solution::design</t>
  </si>
  <si>
    <t xml:space="preserve">improvement::request</t>
  </si>
  <si>
    <t xml:space="preserve">informing::in::favor::(closing::issue::+1)</t>
  </si>
  <si>
    <t xml:space="preserve">informing::in::favor::(feature::design::change)</t>
  </si>
  <si>
    <t xml:space="preserve">informing::in::favor::(feature::design)</t>
  </si>
  <si>
    <t xml:space="preserve">informing::in::favor::(issue::design::+1)</t>
  </si>
  <si>
    <t xml:space="preserve">informing::further::requests::should::be::new::issues</t>
  </si>
  <si>
    <t xml:space="preserve">informing::in::favor::(solution::design)</t>
  </si>
  <si>
    <t xml:space="preserve">informing::in::favor::(deferred::to::later::release::+1)</t>
  </si>
  <si>
    <t xml:space="preserve">informing::lgtm::(+1)</t>
  </si>
  <si>
    <t xml:space="preserve">informing::in::favor::(documentation)</t>
  </si>
  <si>
    <t xml:space="preserve">informing::missmatch::nbetween::code:.and::documentation</t>
  </si>
  <si>
    <t xml:space="preserve">informing::opening::another::issue::(related::feature)</t>
  </si>
  <si>
    <t xml:space="preserve">informing::opinion::(not::common)</t>
  </si>
  <si>
    <t xml:space="preserve">informing::potential::bug:.found</t>
  </si>
  <si>
    <t xml:space="preserve">informing::potential::bug:.found::closed</t>
  </si>
  <si>
    <t xml:space="preserve">informing::oppinion::(task::is::out::of::the::ordinary)</t>
  </si>
  <si>
    <t xml:space="preserve">informing::PR::opened</t>
  </si>
  <si>
    <t xml:space="preserve">informing::scope::of::this::issue::(limited::to::functional::design)</t>
  </si>
  <si>
    <t xml:space="preserve">informing::should::be::discussed::on::mailinglist</t>
  </si>
  <si>
    <t xml:space="preserve">instructions::current::release::cycle</t>
  </si>
  <si>
    <t xml:space="preserve">instructions::next::release::cycle</t>
  </si>
  <si>
    <t xml:space="preserve">intention::to::ticket::re::opening</t>
  </si>
  <si>
    <t xml:space="preserve">key::concepts::and::terminology::of::issue</t>
  </si>
  <si>
    <t xml:space="preserve">link::related::issue</t>
  </si>
  <si>
    <t xml:space="preserve">join::the::fix::of::the::bug::with::a::broader::fix</t>
  </si>
  <si>
    <t xml:space="preserve">link::related::review</t>
  </si>
  <si>
    <t xml:space="preserve">link::review::(review2)</t>
  </si>
  <si>
    <t xml:space="preserve">link::repository::forged::project</t>
  </si>
  <si>
    <t xml:space="preserve">marking::code::as::abandoned</t>
  </si>
  <si>
    <t xml:space="preserve">list::remaining::patches::not::closed::in::the::development::cycle</t>
  </si>
  <si>
    <t xml:space="preserve">merge::of::unknown::review::(link::review3)</t>
  </si>
  <si>
    <t xml:space="preserve">merge::sync::notification</t>
  </si>
  <si>
    <t xml:space="preserve">merge::of::unknown::review::(link::review5)</t>
  </si>
  <si>
    <t xml:space="preserve">merged::units::of::work</t>
  </si>
  <si>
    <t xml:space="preserve">missing::documentation</t>
  </si>
  <si>
    <t xml:space="preserve">missing::feature</t>
  </si>
  <si>
    <t xml:space="preserve">not::meeting::deadline</t>
  </si>
  <si>
    <t xml:space="preserve">new::blueprint::for::remaining::patches</t>
  </si>
  <si>
    <t xml:space="preserve">priority::justification</t>
  </si>
  <si>
    <t xml:space="preserve">no::backporting::(feature::only::in::next::version)</t>
  </si>
  <si>
    <t xml:space="preserve">proposal::change::solution::design</t>
  </si>
  <si>
    <t xml:space="preserve">not::yet::approved</t>
  </si>
  <si>
    <t xml:space="preserve">proposal::change::solution::design::(minor)1</t>
  </si>
  <si>
    <t xml:space="preserve">objection::closing::issue</t>
  </si>
  <si>
    <t xml:space="preserve">proposal::change::solution::design::(minor)2</t>
  </si>
  <si>
    <t xml:space="preserve">objection::proposal::of::possible::solution</t>
  </si>
  <si>
    <t xml:space="preserve">proposal::change::solution::design::(minor)3</t>
  </si>
  <si>
    <t xml:space="preserve">outdated::behaviour</t>
  </si>
  <si>
    <t xml:space="preserve">proposal::change::solution::design::(minor)4</t>
  </si>
  <si>
    <t xml:space="preserve">partial::implementation</t>
  </si>
  <si>
    <t xml:space="preserve">partially::deferred::to::later::release1</t>
  </si>
  <si>
    <t xml:space="preserve">proposal::of::a::possible::fix::(explanation)</t>
  </si>
  <si>
    <t xml:space="preserve">partially::deferred::to::later::release2</t>
  </si>
  <si>
    <t xml:space="preserve">proposal::of::a::possible::fix::(explanation)::related::project</t>
  </si>
  <si>
    <t xml:space="preserve">points::out::inconsistent::behaviour</t>
  </si>
  <si>
    <t xml:space="preserve">preceeding::change::(revision::hash)</t>
  </si>
  <si>
    <t xml:space="preserve">preceeding::feature</t>
  </si>
  <si>
    <t xml:space="preserve">proposal::change::solution::design::(additional::feature))</t>
  </si>
  <si>
    <t xml:space="preserve">proposal::change::solution::design::(leave::as::is)</t>
  </si>
  <si>
    <t xml:space="preserve">proposal::of::a::possible::solution::(explanation)</t>
  </si>
  <si>
    <t xml:space="preserve">proposal::of::a::related::fix::(link::review)::not::main::branch</t>
  </si>
  <si>
    <t xml:space="preserve">proposal::for::backporting::change</t>
  </si>
  <si>
    <t xml:space="preserve">proposes::workaround::to::expected::functionallity::(code::in::text)</t>
  </si>
  <si>
    <t xml:space="preserve">proposes::workaround::to::expected::functionallity::(link)</t>
  </si>
  <si>
    <t xml:space="preserve">providing::assistance::(confirming::bug)</t>
  </si>
  <si>
    <t xml:space="preserve">providing::assistance::(status::bug)</t>
  </si>
  <si>
    <t xml:space="preserve">providing::claarification::about::availability::feature</t>
  </si>
  <si>
    <t xml:space="preserve">providing::clarification::about::availability::feature</t>
  </si>
  <si>
    <t xml:space="preserve">providing::clarification::about::current::implementation</t>
  </si>
  <si>
    <t xml:space="preserve">providing::clarification::about::release::timeline</t>
  </si>
  <si>
    <t xml:space="preserve">providing::clarification::documentation</t>
  </si>
  <si>
    <t xml:space="preserve">providing::clarification::documentation::(issue)</t>
  </si>
  <si>
    <t xml:space="preserve">providing::clarification::documentation::(where)</t>
  </si>
  <si>
    <t xml:space="preserve">proposal::of::a::possible::solution::(code::in::text)</t>
  </si>
  <si>
    <t xml:space="preserve">providing::clarification::intended::solution::design</t>
  </si>
  <si>
    <t xml:space="preserve">providing::clarification::intended::solution::design::(backwards::compatebility)</t>
  </si>
  <si>
    <t xml:space="preserve">proposal::of::a::related::fix::(link::review)</t>
  </si>
  <si>
    <t xml:space="preserve">providing::clarification::missing::documentation</t>
  </si>
  <si>
    <t xml:space="preserve">providing::clarification::possible::usage</t>
  </si>
  <si>
    <t xml:space="preserve">providing::clarification::proposal::change::solution::design::(minor)2</t>
  </si>
  <si>
    <t xml:space="preserve">providing::details::(nova::version)</t>
  </si>
  <si>
    <t xml:space="preserve">proposal::of::a::related::fix::(link::review4)::not::main::branch</t>
  </si>
  <si>
    <t xml:space="preserve">providing::example::for::expected::outcome</t>
  </si>
  <si>
    <t xml:space="preserve">proposal::of::extending::the::task</t>
  </si>
  <si>
    <t xml:space="preserve">providing::example::for::intended::usage::(per::expected::functionallity)</t>
  </si>
  <si>
    <t xml:space="preserve">providing::example::for::intended::usage1</t>
  </si>
  <si>
    <t xml:space="preserve">providing:.clarification::reason::of::the::bug</t>
  </si>
  <si>
    <t xml:space="preserve">providing::reasons::not::supporting::feature</t>
  </si>
  <si>
    <t xml:space="preserve">providing::reasons::of::the::issue</t>
  </si>
  <si>
    <t xml:space="preserve">reason::for::abandoning::the::change::(no::longer::needed::already::being::adressed)::link::another::review</t>
  </si>
  <si>
    <t xml:space="preserve">reason::for::abandoning::the::change::(replaced::by::change2)::link::another::review2</t>
  </si>
  <si>
    <t xml:space="preserve">reason::for::abandoning::the::change2::(replaced::by::change4)::link::another::review4</t>
  </si>
  <si>
    <t xml:space="preserve">ref::code::link</t>
  </si>
  <si>
    <t xml:space="preserve">ref::code::link::(gist)</t>
  </si>
  <si>
    <t xml:space="preserve">ref::CVE References</t>
  </si>
  <si>
    <t xml:space="preserve">providing::clarification::proposal::change::solution::design::(minor)1</t>
  </si>
  <si>
    <t xml:space="preserve">ref::external::references</t>
  </si>
  <si>
    <t xml:space="preserve">providing::clarification::regarding::implementation::details</t>
  </si>
  <si>
    <t xml:space="preserve">ref::external::references::(documentation)</t>
  </si>
  <si>
    <t xml:space="preserve">providing::clarification::regarding::previous::question</t>
  </si>
  <si>
    <t xml:space="preserve">ref::external::references::(other::projects)</t>
  </si>
  <si>
    <t xml:space="preserve">providing::clarification::regarding::where::to::document</t>
  </si>
  <si>
    <t xml:space="preserve">ref::external::references::(theory::book)</t>
  </si>
  <si>
    <t xml:space="preserve">ref::mailing::list</t>
  </si>
  <si>
    <t xml:space="preserve">providing::details::(query::used)</t>
  </si>
  <si>
    <t xml:space="preserve">ref::references::(PR)</t>
  </si>
  <si>
    <t xml:space="preserve">providing::documentation</t>
  </si>
  <si>
    <t xml:space="preserve">reference::previous::meeting::which::agreed::on::proposed::solution</t>
  </si>
  <si>
    <t xml:space="preserve">reference::previous::message</t>
  </si>
  <si>
    <t xml:space="preserve">referer::to::related::bug</t>
  </si>
  <si>
    <t xml:space="preserve">providing::example::for::intended::usage2</t>
  </si>
  <si>
    <t xml:space="preserve">referer::to::related::bug1</t>
  </si>
  <si>
    <t xml:space="preserve">providing::example::for::intended::usage::(from::another:issue)</t>
  </si>
  <si>
    <t xml:space="preserve">referer::to::related::issue</t>
  </si>
  <si>
    <t xml:space="preserve">referes::to::another::(BP)</t>
  </si>
  <si>
    <t xml:space="preserve">rebase::required</t>
  </si>
  <si>
    <t xml:space="preserve">referes::to::spec</t>
  </si>
  <si>
    <t xml:space="preserve">referes::to::spec::(link::etherpad)</t>
  </si>
  <si>
    <t xml:space="preserve">referes::to::spec::(link::review)</t>
  </si>
  <si>
    <t xml:space="preserve">relation::with::other::BP::work</t>
  </si>
  <si>
    <t xml:space="preserve">requesting::add::desciption::requirements::(testing::purposes)</t>
  </si>
  <si>
    <t xml:space="preserve">requesting::add::details::(description)</t>
  </si>
  <si>
    <t xml:space="preserve">requesting:developing::process::(review::patches)</t>
  </si>
  <si>
    <t xml:space="preserve">requesting:developing::process::(tidy::up::patches)</t>
  </si>
  <si>
    <t xml:space="preserve">referer::to::related::review</t>
  </si>
  <si>
    <t xml:space="preserve">reviews::addressing::bug</t>
  </si>
  <si>
    <t xml:space="preserve">reviews::addressing::bug::(status)</t>
  </si>
  <si>
    <t xml:space="preserve">source::of::the::bug::(code::link)</t>
  </si>
  <si>
    <t xml:space="preserve">relation::with::other::bug::(no::link)</t>
  </si>
  <si>
    <t xml:space="preserve">source::of::the::bug::(hash::commit)</t>
  </si>
  <si>
    <t xml:space="preserve">source::of::the::bug::(issue::link)</t>
  </si>
  <si>
    <t xml:space="preserve">status::of::feature</t>
  </si>
  <si>
    <t xml:space="preserve">status::of::patches</t>
  </si>
  <si>
    <t xml:space="preserve">steps::replicate::bug</t>
  </si>
  <si>
    <t xml:space="preserve">reviews::addressing::feature</t>
  </si>
  <si>
    <t xml:space="preserve">suggest::moving::to::next::release</t>
  </si>
  <si>
    <t xml:space="preserve">security::enhancements</t>
  </si>
  <si>
    <t xml:space="preserve">suggestion::rename::variables</t>
  </si>
  <si>
    <t xml:space="preserve">situation::where::bug::appears</t>
  </si>
  <si>
    <t xml:space="preserve">summary::of::the::problem</t>
  </si>
  <si>
    <t xml:space="preserve">summary::of::the::purpose</t>
  </si>
  <si>
    <t xml:space="preserve">testing::status</t>
  </si>
  <si>
    <t xml:space="preserve">topic::that::group::all::changes::related::to::BP/feature</t>
  </si>
  <si>
    <t xml:space="preserve">steps::required::for::backwards::compatibility</t>
  </si>
  <si>
    <t xml:space="preserve">topic10::that::group::all::changes::related::to::BP/feature</t>
  </si>
  <si>
    <t xml:space="preserve">topic11::that::group::all::changes::related::to::BP/feature</t>
  </si>
  <si>
    <t xml:space="preserve">topic12::that::group::all::changes::related::to::BP/feature</t>
  </si>
  <si>
    <t xml:space="preserve">unapproved::specification::of::BP</t>
  </si>
  <si>
    <t xml:space="preserve">topic13::that::group::all::changes::related::to::BP/feature</t>
  </si>
  <si>
    <t xml:space="preserve">topic2::that::group::all::changes::related::to::BP/feature</t>
  </si>
  <si>
    <t xml:space="preserve">topic3::that::group::all::changes::related::to::BP/feature</t>
  </si>
  <si>
    <t xml:space="preserve">topic4::that::group::all::changes::related::to::BP/feature</t>
  </si>
  <si>
    <t xml:space="preserve">when::is::the::bug::present::(specific::elasticsearch::version)</t>
  </si>
  <si>
    <t xml:space="preserve">topic5::that::group::all::changes::related::to::BP/feature</t>
  </si>
  <si>
    <t xml:space="preserve">when::is::the::bug::present::(specific::java::version)</t>
  </si>
  <si>
    <t xml:space="preserve">topic6::that::group::all::changes::related::to::BP/feature</t>
  </si>
  <si>
    <t xml:space="preserve">when::is::the::bug::present::(specific::python::version)</t>
  </si>
  <si>
    <t xml:space="preserve">topic7::that::group::all::changes::related::to::BP/feature</t>
  </si>
  <si>
    <t xml:space="preserve">topic8::that::group::all::changes::related::to::BP/feature</t>
  </si>
  <si>
    <t xml:space="preserve">why::feature::is::required</t>
  </si>
  <si>
    <t xml:space="preserve">topic9::that::group::all::changes::related::to::BP/feature</t>
  </si>
  <si>
    <t xml:space="preserve">wrong::linking::between::review::commit2::and::bug</t>
  </si>
  <si>
    <t xml:space="preserve">x</t>
  </si>
  <si>
    <t xml:space="preserve">units::of::work::(link::to::reviews)</t>
  </si>
  <si>
    <t xml:space="preserve">where::is::the::bug</t>
  </si>
  <si>
    <t xml:space="preserve">where::was::merged::the::units::of::work</t>
  </si>
  <si>
    <t xml:space="preserve">why::BP/feature::is::required</t>
  </si>
  <si>
    <t xml:space="preserve">"proposal" is usually a request for something. except for "proposal::of::a::possible::fix..." which is informing because it informs that someone created a solution</t>
  </si>
  <si>
    <t xml:space="preserve">refactoring_requesting::(!!Missing!!)</t>
  </si>
  <si>
    <t xml:space="preserve">refactoring_requesting::(cleaner::code)</t>
  </si>
  <si>
    <t xml:space="preserve">refactoring_discussing::(cleaner::code)</t>
  </si>
  <si>
    <t xml:space="preserve">change_informing::(abandon::change::link)</t>
  </si>
  <si>
    <t xml:space="preserve">change_requesting::(implementation)</t>
  </si>
  <si>
    <t xml:space="preserve">change_informing::(implementation)</t>
  </si>
  <si>
    <t xml:space="preserve">change_requesting::(maintainability::and::compatibility)</t>
  </si>
  <si>
    <t xml:space="preserve">change_discussing::(bug::fix)</t>
  </si>
  <si>
    <t xml:space="preserve">development::process_discussing::(new::bug)</t>
  </si>
  <si>
    <t xml:space="preserve">development::process_requesting::(new::bug)</t>
  </si>
  <si>
    <t xml:space="preserve">development::process_informing::(new::bug)</t>
  </si>
  <si>
    <t xml:space="preserve">development::process_informing::(FFE::request)</t>
  </si>
  <si>
    <t xml:space="preserve">development::process_requesting::(FFE::request)</t>
  </si>
  <si>
    <t xml:space="preserve">development::process_discussing::(FFE::request)</t>
  </si>
  <si>
    <t xml:space="preserve">development::process_informing::(FFE::deadline)</t>
  </si>
  <si>
    <t xml:space="preserve">development::process_informing::(FFE::expired)</t>
  </si>
  <si>
    <t xml:space="preserve">development::process_informing::(realted::issue)</t>
  </si>
  <si>
    <t xml:space="preserve">development::process_informing::(realted::issue::link)</t>
  </si>
  <si>
    <t xml:space="preserve">link::related::issues::(multiple::sub-tasks)</t>
  </si>
  <si>
    <t xml:space="preserve">development::process_informing::(realted::review)</t>
  </si>
  <si>
    <t xml:space="preserve">development::process_informing::(current::development::cycle)</t>
  </si>
  <si>
    <t xml:space="preserve">development::process_informing::(realted::bug)</t>
  </si>
  <si>
    <t xml:space="preserve">development::process_discussing::(implemented::elsewhere)</t>
  </si>
  <si>
    <t xml:space="preserve">development::process_discussing::(implemented::elsewhere::link)</t>
  </si>
  <si>
    <t xml:space="preserve">development::process_requesting::(intended::process)</t>
  </si>
  <si>
    <t xml:space="preserve">development::process_informing::(next::development::cycle)</t>
  </si>
  <si>
    <t xml:space="preserve">development::process_discussing::(next::development::cycle)</t>
  </si>
  <si>
    <t xml:space="preserve">development::process_informing::(rebase)</t>
  </si>
  <si>
    <t xml:space="preserve">ISSUE: the in this case introducing issue</t>
  </si>
  <si>
    <t xml:space="preserve">issue_discussing::(!!todo::missing::topic!!)</t>
  </si>
  <si>
    <t xml:space="preserve">fix while harmonizing</t>
  </si>
  <si>
    <t xml:space="preserve">issue_requesting::(!!todo::missing::topic!!)</t>
  </si>
  <si>
    <t xml:space="preserve">issue_requesting::(documentation)</t>
  </si>
  <si>
    <t xml:space="preserve">issue_informing::(documentation)</t>
  </si>
  <si>
    <t xml:space="preserve">issue_discussing::(documentation)</t>
  </si>
  <si>
    <t xml:space="preserve">issue_requesting::(issue::description)</t>
  </si>
  <si>
    <t xml:space="preserve">issue_informing::(issue::description)</t>
  </si>
  <si>
    <t xml:space="preserve">issue_informing::(triage)</t>
  </si>
  <si>
    <t xml:space="preserve">issue_discussing::(triage::link)</t>
  </si>
  <si>
    <t xml:space="preserve">issue_discussing::(triage)</t>
  </si>
  <si>
    <t xml:space="preserve">issue_requesting::(triage)</t>
  </si>
  <si>
    <t xml:space="preserve">providing::clarification::proposal::change::solution::design::(minor)</t>
  </si>
  <si>
    <t xml:space="preserve">issue_requesting::(versioning)</t>
  </si>
  <si>
    <t xml:space="preserve">issue_informing::(versioning)</t>
  </si>
  <si>
    <t xml:space="preserve">issue_informing::(related::spec)</t>
  </si>
  <si>
    <t xml:space="preserve">issue_informing::(related::bug)</t>
  </si>
  <si>
    <t xml:space="preserve">issue_informing::(inteded::usage)</t>
  </si>
  <si>
    <t xml:space="preserve">issue_requesting::(intended::usage)</t>
  </si>
  <si>
    <t xml:space="preserve">issue_informing::(intended::usage)</t>
  </si>
  <si>
    <t xml:space="preserve">issue_informing::(maintainability::and::compatibility)</t>
  </si>
  <si>
    <t xml:space="preserve">issue_informing::(related::issue)</t>
  </si>
  <si>
    <t xml:space="preserve">issue_informing::(related::review)</t>
  </si>
  <si>
    <t xml:space="preserve">SPEC: the in this case introducing spec, sub-category of ISSUE</t>
  </si>
  <si>
    <t xml:space="preserve">issue_informing::(documentation::link)</t>
  </si>
  <si>
    <t xml:space="preserve">BUG: the in this case introducing bug, sub-category of ISSUE</t>
  </si>
  <si>
    <t xml:space="preserve">issue_requesting::(reason::for::bug)</t>
  </si>
  <si>
    <t xml:space="preserve">ref::external::discussion::source</t>
  </si>
  <si>
    <t xml:space="preserve">sort ot the ones where i can tell the target and other resolve while harmonizing</t>
  </si>
  <si>
    <t xml:space="preserve">through the link that is there for specs, not as in talking about the spec</t>
  </si>
  <si>
    <t xml:space="preserve">DELETE::ME</t>
  </si>
  <si>
    <t xml:space="preserve">agreeing::on::clarification::on::discussing::solution::design</t>
  </si>
  <si>
    <t xml:space="preserve">agreeing::answering::about::selecting::between::design::options::of::implementation::(hybrid::compute::nodes)::(implement::both)</t>
  </si>
  <si>
    <t xml:space="preserve">agreeing::plan::development::process::(future::enhancement)</t>
  </si>
  <si>
    <t xml:space="preserve">agreeing::con::clarification::on::discussing::solution::design::(requirements::of::the::solution)</t>
  </si>
  <si>
    <t xml:space="preserve">agreeing::to::do::a::FFE::for::the::BP</t>
  </si>
  <si>
    <t xml:space="preserve">agreeing::design::choice::(hybrid::compute::nodes)</t>
  </si>
  <si>
    <t xml:space="preserve">agreeing::to::reject::a::FFE::for::the::BP::that::includes::the::bug</t>
  </si>
  <si>
    <t xml:space="preserve">agreeing::in::implement::a::temporal::solution::that::will::be::later::improved</t>
  </si>
  <si>
    <t xml:space="preserve">agreeing::with::the::solution::proposed::for::bug::due::to::new::functionality::that::was::enabled::thanks::to::the::BP</t>
  </si>
  <si>
    <t xml:space="preserve">agreeing::not::delaying::the:.discussion::of::BP</t>
  </si>
  <si>
    <t xml:space="preserve">aknowledgeing::that:.adressing:feedback::needed:.to::FFE</t>
  </si>
  <si>
    <t xml:space="preserve">agreeing::on::filed/registered::blue::print::to::track::progress</t>
  </si>
  <si>
    <t xml:space="preserve">alternative::solution::to::encountered::errors::while::implementing::feature/BP</t>
  </si>
  <si>
    <t xml:space="preserve">agreeing::on::requesting::a::meeeting::(IRC)</t>
  </si>
  <si>
    <t xml:space="preserve">answering::question::about::details::in::implementation</t>
  </si>
  <si>
    <t xml:space="preserve">agreeing::solution::for::the::responsabilities::left::of::by::other::developers::(bug/BP/feature::related)</t>
  </si>
  <si>
    <t xml:space="preserve">approval::FFE</t>
  </si>
  <si>
    <t xml:space="preserve">asking::advice::development::process::(split::changes)::due::to::interaction::of::different::projects::(nova::neutron)::with::the::wanted::change</t>
  </si>
  <si>
    <t xml:space="preserve">asking::advice::development::process::(tags::vs::branches::vs::different::project)</t>
  </si>
  <si>
    <t xml:space="preserve">asking::advice::issue::encountered</t>
  </si>
  <si>
    <t xml:space="preserve">asking::approval::bp</t>
  </si>
  <si>
    <t xml:space="preserve">asking::clarification::about::functionallity::(how::to::enable::in::the::future)</t>
  </si>
  <si>
    <t xml:space="preserve">ansswering::advice::how::discussing::topic::online</t>
  </si>
  <si>
    <t xml:space="preserve">asking::clarification::about::intended::solution::design</t>
  </si>
  <si>
    <t xml:space="preserve">answering::about::one::design::choice::of::implementation::(hybrid::compute::nodes)::(decision::depends:.on::developers::team::not::constraint::to::technology)</t>
  </si>
  <si>
    <t xml:space="preserve">asking::clarification::about::intended::test::setup</t>
  </si>
  <si>
    <t xml:space="preserve">answering::about::selecting::between::design::options::of::implementation(hybrid::compute::nodes)::(implement::both)</t>
  </si>
  <si>
    <t xml:space="preserve">asking::clarification::about::next::steps::(design:.choices)</t>
  </si>
  <si>
    <t xml:space="preserve">answering::advice::how::discussing::topic::online</t>
  </si>
  <si>
    <t xml:space="preserve">asking::clarification::about::solution::design::(components::of::the::solution)</t>
  </si>
  <si>
    <t xml:space="preserve">answering::asking::for:.an::existing::Bug/BP::to:.work::on::(tag::related::on::bug::platform)</t>
  </si>
  <si>
    <t xml:space="preserve">asking::clarification::of::backporting::other::features::of::the::same::release::of::BP</t>
  </si>
  <si>
    <t xml:space="preserve">answering::asking::for::an::existing::Bug/BP::to:.work::on::(possible::BP)</t>
  </si>
  <si>
    <t xml:space="preserve">asking::clarification::regarding::responsibilities::(possible::missunderstanding)</t>
  </si>
  <si>
    <t xml:space="preserve">answering::asking::for::an::existing::Bug/BP::to:.work::on::(possible::bug)</t>
  </si>
  <si>
    <t xml:space="preserve">asking::clarifications::about::development::process::(testing)</t>
  </si>
  <si>
    <t xml:space="preserve">answering::asking::for::an::existing::Bug/BP::to:.work::on::(possible::specification)</t>
  </si>
  <si>
    <t xml:space="preserve">asking::clarifications::about::plan::development::process</t>
  </si>
  <si>
    <t xml:space="preserve">answering::asking::for::creation::(specification::new::API)</t>
  </si>
  <si>
    <t xml:space="preserve">asking::for:.an::existing::Bug/BP::to:.work::on</t>
  </si>
  <si>
    <t xml:space="preserve">answering::clarifications::about::development::process::(testing)</t>
  </si>
  <si>
    <t xml:space="preserve">asking::for::advice::(solution::design)</t>
  </si>
  <si>
    <t xml:space="preserve">asking::for::approval::of::the::implmentation::(other::review)</t>
  </si>
  <si>
    <t xml:space="preserve">approving::the::idea-of::working::in::the::creation::prroposed::BP/feature::to::adress::identified::bug</t>
  </si>
  <si>
    <t xml:space="preserve">asking::for::creation::(specification::new::API)</t>
  </si>
  <si>
    <t xml:space="preserve">asking::about::one::design::choice::of::implementation::(hybrid::compute::nodes)</t>
  </si>
  <si>
    <t xml:space="preserve">asking::for::help::(help::plea)</t>
  </si>
  <si>
    <t xml:space="preserve">asking::about::selecting::between::design::options::of::implementation(hybrid::compute::nodes)</t>
  </si>
  <si>
    <t xml:space="preserve">asking::for::more::oppinions::(by::devs::of::related::project)</t>
  </si>
  <si>
    <t xml:space="preserve">asking::advice::development::process::(meetings)</t>
  </si>
  <si>
    <t xml:space="preserve">clarifications::about::question::of::bp/feature::in::previous::mail</t>
  </si>
  <si>
    <t xml:space="preserve">asking::advice::development::process::(reviewers::permissions::timing)</t>
  </si>
  <si>
    <t xml:space="preserve">clarified::concepts::of::the::mentioned::BP</t>
  </si>
  <si>
    <t xml:space="preserve">commiting::to::review</t>
  </si>
  <si>
    <t xml:space="preserve">asking::advice::development::process::(split::changes::into::smaller::pieces)</t>
  </si>
  <si>
    <t xml:space="preserve">complaining::about::previous::bad::developing</t>
  </si>
  <si>
    <t xml:space="preserve">conditions::to::deprecate::a::feature::(not::BP)</t>
  </si>
  <si>
    <t xml:space="preserve">asking::advice::development::process::(tests)</t>
  </si>
  <si>
    <t xml:space="preserve">cons::and::pros::design::choice::to::deprecating::project::inside::nova</t>
  </si>
  <si>
    <t xml:space="preserve">asking::advice::development::process::(tests::process)</t>
  </si>
  <si>
    <t xml:space="preserve">cons::and::pros::FFE</t>
  </si>
  <si>
    <t xml:space="preserve">asking::advice::how::discussing::topic::online</t>
  </si>
  <si>
    <t xml:space="preserve">criticallity::of::bugs</t>
  </si>
  <si>
    <t xml:space="preserve">asking::clarification::about::conditions::to::change::status::of::project::(removing:.label::experimental)::which::holds::the::BP</t>
  </si>
  <si>
    <t xml:space="preserve">deadline::of::tasks::associated::to::BP::approaching</t>
  </si>
  <si>
    <t xml:space="preserve">asking::clarification::about::cons::design::choice::(hybrid::compute::nodes)</t>
  </si>
  <si>
    <t xml:space="preserve">deprecate::a::feature::(review)</t>
  </si>
  <si>
    <t xml:space="preserve">asking::clarification::about::functionallity::(current::code)</t>
  </si>
  <si>
    <t xml:space="preserve">disagreeing::refactoring::required</t>
  </si>
  <si>
    <t xml:space="preserve">discussing::about::plan::development::process::(steps)</t>
  </si>
  <si>
    <t xml:space="preserve">asking::clarification::about::functionallity::(how::to::enable::in::the::future)::design</t>
  </si>
  <si>
    <t xml:space="preserve">discussing::compatebility::of::solution::design</t>
  </si>
  <si>
    <t xml:space="preserve">asking::clarification::about::location::of::resources::(selected::design::choice)</t>
  </si>
  <si>
    <t xml:space="preserve">discussing::compatebility::of::solution::design::(with::related::feature)</t>
  </si>
  <si>
    <t xml:space="preserve">asking::clarification::about::more::details::of::the::design::choice::(flow)</t>
  </si>
  <si>
    <t xml:space="preserve">discussing::core::reviewer::assignment</t>
  </si>
  <si>
    <t xml:space="preserve">discussing::developer::assignment</t>
  </si>
  <si>
    <t xml:space="preserve">discussing::development::process::(developer::team)</t>
  </si>
  <si>
    <t xml:space="preserve">asking::clarification::about::status::of::project::(removing:.label::experimental)::which::holds::the::BP</t>
  </si>
  <si>
    <t xml:space="preserve">discussing::development::process::(meetings)</t>
  </si>
  <si>
    <t xml:space="preserve">asking::clarification::interaction::of::different::projects::(nova::neutron)::with::the::change::introduced::by::the:BP</t>
  </si>
  <si>
    <t xml:space="preserve">discussing::development::process::(next::meeting::related::BP::priority::not::delaying)</t>
  </si>
  <si>
    <t xml:space="preserve">discussing::intended::solution::design</t>
  </si>
  <si>
    <t xml:space="preserve">asking::clarification::on::discussing::solution::design::(requirements::of::the::solution)</t>
  </si>
  <si>
    <t xml:space="preserve">discussing::intended::test::setup</t>
  </si>
  <si>
    <t xml:space="preserve">asking::clarification::on::the::design::decision::taken::(hybrid::compute::nodes)</t>
  </si>
  <si>
    <t xml:space="preserve">discussing::keeping::inside::project::as::it::is</t>
  </si>
  <si>
    <t xml:space="preserve">asking::clarifications::about::bug::trace::implications</t>
  </si>
  <si>
    <t xml:space="preserve">discussing::plan::development::process::(move::project::outside::nova)</t>
  </si>
  <si>
    <t xml:space="preserve">discussing::plan::development::process::(reviews)</t>
  </si>
  <si>
    <t xml:space="preserve">asking::clarifications::about::development::process::(tests::process)</t>
  </si>
  <si>
    <t xml:space="preserve">discussing::plan::development::process::(timeframe)</t>
  </si>
  <si>
    <t xml:space="preserve">discussing::providing::advice::development::process::(tests::move::them::out:nova)</t>
  </si>
  <si>
    <t xml:space="preserve">asking::clarifications::about::proposed::solution::to::bug::due::to::new::functionality::that::was::enabled::thanks::to::the::BP::(compatibility)</t>
  </si>
  <si>
    <t xml:space="preserve">discussing::solution::design</t>
  </si>
  <si>
    <t xml:space="preserve">asking::clarifications::history::of::the::bug/BP</t>
  </si>
  <si>
    <t xml:space="preserve">discussing::solution::design::(requirements::of::the::solution)</t>
  </si>
  <si>
    <t xml:space="preserve">discussing::test::coverage</t>
  </si>
  <si>
    <t xml:space="preserve">asking::for::approval::of::the::implmentation::(review)</t>
  </si>
  <si>
    <t xml:space="preserve">discussing::the::release::deadline::for::BP/feature</t>
  </si>
  <si>
    <t xml:space="preserve">discussing::topics::of::a::BP::related</t>
  </si>
  <si>
    <t xml:space="preserve">asking::for::plan::development::process::(move::project::outside::nova)</t>
  </si>
  <si>
    <t xml:space="preserve">errors::encounter::while::following::the::BP/feature::especification</t>
  </si>
  <si>
    <t xml:space="preserve">asking::if::different::bug::could::be::related::to::current::bug</t>
  </si>
  <si>
    <t xml:space="preserve">feature::parity::between::main::project::and::forked::one</t>
  </si>
  <si>
    <t xml:space="preserve">asking::plans::move::project::ouside::nova</t>
  </si>
  <si>
    <t xml:space="preserve">FFE::request</t>
  </si>
  <si>
    <t xml:space="preserve">asking::reason::for::(move::project::outside::nova)</t>
  </si>
  <si>
    <t xml:space="preserve">FFE::request::(related::review)</t>
  </si>
  <si>
    <t xml:space="preserve">asking::to::review::in::related::changes::of::the::project</t>
  </si>
  <si>
    <t xml:space="preserve">functionality::that::was::enabled::thanks::to::the::BP::introduced::a::bug</t>
  </si>
  <si>
    <t xml:space="preserve">BP::associated::to::the::realease::of::the::same::BP</t>
  </si>
  <si>
    <t xml:space="preserve">impact::of::bp::(security)</t>
  </si>
  <si>
    <t xml:space="preserve">clarification::on::discussing::solution::design::(requirements::of::the::solution)</t>
  </si>
  <si>
    <t xml:space="preserve">indicating::information::(development::progress)</t>
  </si>
  <si>
    <t xml:space="preserve">informing::about::next::steps</t>
  </si>
  <si>
    <t xml:space="preserve">clarifications::about::question::of::bp/feature::in::previous::mail::(to::external::developer)</t>
  </si>
  <si>
    <t xml:space="preserve">informing::added::comment::(bug)</t>
  </si>
  <si>
    <t xml:space="preserve">clarifications::about::question::of::bp/feature::in::previous::mail::(to::external::developer::by::external::developer)</t>
  </si>
  <si>
    <t xml:space="preserve">informing::bp::updated</t>
  </si>
  <si>
    <t xml:space="preserve">informing::extension::of::scope::for::blueprint</t>
  </si>
  <si>
    <t xml:space="preserve">clarify::the::differences::of::the::BP/feature::with::the::needs</t>
  </si>
  <si>
    <t xml:space="preserve">informing::feature::waiting::for::completion::(review::approval)</t>
  </si>
  <si>
    <t xml:space="preserve">clarifying::design::based::on::functionallity::(current::code)::previous::related::developments</t>
  </si>
  <si>
    <t xml:space="preserve">informing::filing::blue::print::to::track::progress</t>
  </si>
  <si>
    <t xml:space="preserve">commenting::about::the::voting::given::to::the::features/bugs::of::the::BP</t>
  </si>
  <si>
    <t xml:space="preserve">informing::filing::bug::to::track::progress</t>
  </si>
  <si>
    <t xml:space="preserve">commiting::to::review::due::to::previous::experience::with::topic</t>
  </si>
  <si>
    <t xml:space="preserve">informing::found::another::reasong::for::bug</t>
  </si>
  <si>
    <t xml:space="preserve">communicate::need::resources::(developers)</t>
  </si>
  <si>
    <t xml:space="preserve">informing::improvement::(live::migration)</t>
  </si>
  <si>
    <t xml:space="preserve">communicate::reallocate::resources::(developers)::move::project::ouside::nova</t>
  </si>
  <si>
    <t xml:space="preserve">informing::in::favor::(ffe)</t>
  </si>
  <si>
    <t xml:space="preserve">communicate::user::status::of::project</t>
  </si>
  <si>
    <t xml:space="preserve">informing::in::favour::(fix)</t>
  </si>
  <si>
    <t xml:space="preserve">informing::in::favour::(merge)</t>
  </si>
  <si>
    <t xml:space="preserve">informing::low::interest::(by::devs::of::related::project)</t>
  </si>
  <si>
    <t xml:space="preserve">conditions::to::develop::in::the::new::project::(involve::BP::being::completed)</t>
  </si>
  <si>
    <t xml:space="preserve">informing::preference::implementation::timeframe::(sooner::than::later)</t>
  </si>
  <si>
    <t xml:space="preserve">confirmation::of::right::place::to::ask::about::feature/bp</t>
  </si>
  <si>
    <t xml:space="preserve">informing::previous::decision</t>
  </si>
  <si>
    <t xml:space="preserve">confirming::discussion::of::the::topic::(related:.to::BP)::in::summit::(global::meeting)</t>
  </si>
  <si>
    <t xml:space="preserve">informing::previous::experience::with::topic</t>
  </si>
  <si>
    <t xml:space="preserve">conflicts::meeting::group::to::discuss::BP/feature</t>
  </si>
  <si>
    <t xml:space="preserve">informing::progress</t>
  </si>
  <si>
    <t xml:space="preserve">cons::and::pros::design::choice::(hybrid::compute::nodes)</t>
  </si>
  <si>
    <t xml:space="preserve">informing::progress::(tests)</t>
  </si>
  <si>
    <t xml:space="preserve">cons::and::pros::design::choice::(idea::brought::by::someone::else)</t>
  </si>
  <si>
    <t xml:space="preserve">informing::prove::of::concept</t>
  </si>
  <si>
    <t xml:space="preserve">cons::and::pros::design::choice::(requirements)</t>
  </si>
  <si>
    <t xml:space="preserve">informing::refactoring</t>
  </si>
  <si>
    <t xml:space="preserve">informing::refactoring::required</t>
  </si>
  <si>
    <t xml:space="preserve">cons::and::pros::design::choice::to::keep::project::inside::nova</t>
  </si>
  <si>
    <t xml:space="preserve">informing::where::bug::occures</t>
  </si>
  <si>
    <t xml:space="preserve">informing::will::do::creation::(specification::new::API)</t>
  </si>
  <si>
    <t xml:space="preserve">informing::will::investigate::(potential::downsides)</t>
  </si>
  <si>
    <t xml:space="preserve">demo::for::suggestions:.of::improvements::of::the::software::based:.on::new::opportunities:.based::on::changes::needed:.for:.the::bug</t>
  </si>
  <si>
    <t xml:space="preserve">informing::will::investigate::(specific::failures)</t>
  </si>
  <si>
    <t xml:space="preserve">describing::the::need::of::real::exposure::before::releasing::change</t>
  </si>
  <si>
    <t xml:space="preserve">infroming::review::waiting::for::approval</t>
  </si>
  <si>
    <t xml:space="preserve">description::of::patch::(solution)::of::a::bug</t>
  </si>
  <si>
    <t xml:space="preserve">inviting::developer::to::help::with::the::development</t>
  </si>
  <si>
    <t xml:space="preserve">description::of::the::sender::development::responsabilities::(bug/BP/feature::related)</t>
  </si>
  <si>
    <t xml:space="preserve">issue::progress::(related::issue)</t>
  </si>
  <si>
    <t xml:space="preserve">description::of::the::sender::development::responsabilities::(not::bug/BP/feature::related)</t>
  </si>
  <si>
    <t xml:space="preserve">issue::progress::(unrelated::issue)</t>
  </si>
  <si>
    <t xml:space="preserve">description::of::the::sender::development::responsabilities::not::taken::(bug/BP/feature::related)</t>
  </si>
  <si>
    <t xml:space="preserve">mentioned::the::BP</t>
  </si>
  <si>
    <t xml:space="preserve">details::on::how::a::similar::problem::has::been::approached::by::different::developers::(external)</t>
  </si>
  <si>
    <t xml:space="preserve">mentioned::the::introducing::review</t>
  </si>
  <si>
    <t xml:space="preserve">details::on::how::the::functionality::can::also::encompass::a::broader::target::(external::developer)</t>
  </si>
  <si>
    <t xml:space="preserve">mentioned::the::issue</t>
  </si>
  <si>
    <t xml:space="preserve">deviations:.from::groupal::summit::(global::meeting)</t>
  </si>
  <si>
    <t xml:space="preserve">mentioning::related::bp</t>
  </si>
  <si>
    <t xml:space="preserve">discard::the::idea::of::ussing::the::BP/feature::to::solve::a::need</t>
  </si>
  <si>
    <t xml:space="preserve">mentioning::related::bug</t>
  </si>
  <si>
    <t xml:space="preserve">discuss::another::BP::design::decisions</t>
  </si>
  <si>
    <t xml:space="preserve">mentioning::related::issue</t>
  </si>
  <si>
    <t xml:space="preserve">discussing::about::development::process::(location::testing)</t>
  </si>
  <si>
    <t xml:space="preserve">mentioning::related::review</t>
  </si>
  <si>
    <t xml:space="preserve">discussing::about::development::process::(testing)</t>
  </si>
  <si>
    <t xml:space="preserve">message::containing::code</t>
  </si>
  <si>
    <t xml:space="preserve">discussing::about::functionallity::(how::to::enable::in::the::future)::design::(alternative::solution)</t>
  </si>
  <si>
    <t xml:space="preserve">message::containing::debug::log</t>
  </si>
  <si>
    <t xml:space="preserve">discussing::about::functionallity::(how::to::enable::in::the::future)::design::(alternative::solution)::cons</t>
  </si>
  <si>
    <t xml:space="preserve">minor::changes</t>
  </si>
  <si>
    <t xml:space="preserve">discussing::about::plan::development::process::(same::or::different::project)</t>
  </si>
  <si>
    <t xml:space="preserve">move::discussion::into::a::related::review</t>
  </si>
  <si>
    <t xml:space="preserve">offering::help::for::developing::project</t>
  </si>
  <si>
    <t xml:space="preserve">discussing::changes::in::different::project::(e.g.,::neutron)</t>
  </si>
  <si>
    <t xml:space="preserve">offering::help::to::shephard::reviews</t>
  </si>
  <si>
    <t xml:space="preserve">discussing::clarification::about::conditions::to::change::status::of::project::(removing:.label::experimental)::which::holds::the::BP</t>
  </si>
  <si>
    <t xml:space="preserve">patches::that::require::FFE</t>
  </si>
  <si>
    <t xml:space="preserve">discussing::clarification::about::design::choice::(hybrid::compute::nodes)</t>
  </si>
  <si>
    <t xml:space="preserve">proposal::to::discuss::topic::(related:.to::BP)::in::summit::(global::meeting)</t>
  </si>
  <si>
    <t xml:space="preserve">discussing::clarification::about::design::choice::(hybrid::compute::nodes)::use::cases</t>
  </si>
  <si>
    <t xml:space="preserve">proposing::a::solution::to::bug::due::to::new::functionality::that::was::enabled::thanks::to::the::BP</t>
  </si>
  <si>
    <t xml:space="preserve">discussing::clarification::about::design::choice::providing::options::of::implementation(hybrid::compute::nodes)</t>
  </si>
  <si>
    <t xml:space="preserve">proposing::ask::for::user::feedback::(regarding::usage::of::feature)</t>
  </si>
  <si>
    <t xml:space="preserve">discussing::clarification::about::status::of::project::(removing:.label::experimental)::which::holds::the::BP</t>
  </si>
  <si>
    <t xml:space="preserve">proposing::temporary::fix</t>
  </si>
  <si>
    <t xml:space="preserve">discussing::complaining::about::previous::bad::developing</t>
  </si>
  <si>
    <t xml:space="preserve">providing::advice::(solution::design)</t>
  </si>
  <si>
    <t xml:space="preserve">discussing::cons::design::choice::(hybrid::compute::nodes)</t>
  </si>
  <si>
    <t xml:space="preserve">providing::advice::development::process::(tags::vs::branches::vs::different::project)</t>
  </si>
  <si>
    <t xml:space="preserve">discussing::cons::design::choice:::one::design::choice::of::implementation::(hybrid::compute::nodes)</t>
  </si>
  <si>
    <t xml:space="preserve">providing::advice::development::process::(topcs/tags)</t>
  </si>
  <si>
    <t xml:space="preserve">providing::clarification::about::functionallity::(current::code)</t>
  </si>
  <si>
    <t xml:space="preserve">providing::clarification::about::intended::solution::design</t>
  </si>
  <si>
    <t xml:space="preserve">discussing::development::process::(next::meeting::related::BP::content)</t>
  </si>
  <si>
    <t xml:space="preserve">providing::clarification::about::intended::test::setup</t>
  </si>
  <si>
    <t xml:space="preserve">providing::clarification::about::responsibilities</t>
  </si>
  <si>
    <t xml:space="preserve">providing::clarification::about::solution::design</t>
  </si>
  <si>
    <t xml:space="preserve">providing::clarification::current::design</t>
  </si>
  <si>
    <t xml:space="preserve">discussing::proposing::development::project::(as::API)</t>
  </si>
  <si>
    <t xml:space="preserve">providing::clarification::of::backporting::other::features::of::the::same::release::of::BP::(oportunistic::approach)</t>
  </si>
  <si>
    <t xml:space="preserve">discussing::proposing::keep::project::as::experimental::project</t>
  </si>
  <si>
    <t xml:space="preserve">providing::clarifications::about::development::process::(tests::process)</t>
  </si>
  <si>
    <t xml:space="preserve">discussing::pros::design::choice::to::keep::project::inside::nova::(user::importance)</t>
  </si>
  <si>
    <t xml:space="preserve">providing::clarifications::about::plan::development::process</t>
  </si>
  <si>
    <t xml:space="preserve">providing::example::(use::case)</t>
  </si>
  <si>
    <t xml:space="preserve">proving::aswer::about::dependencies::of::BP::with::NOVA</t>
  </si>
  <si>
    <t xml:space="preserve">discussing::solution::design::(asking::how::it::is::being::implemented)</t>
  </si>
  <si>
    <t xml:space="preserve">question::about::dependencies::of::BP::with::NOVA</t>
  </si>
  <si>
    <t xml:space="preserve">discussing::solution::design::(components::of::the::solution)</t>
  </si>
  <si>
    <t xml:space="preserve">question::about::details::in::implementation</t>
  </si>
  <si>
    <t xml:space="preserve">discussing::solution::design::(functionallity::that::are::not::yet::available)</t>
  </si>
  <si>
    <t xml:space="preserve">reason::of::bug</t>
  </si>
  <si>
    <t xml:space="preserve">reasons::for::deprecation</t>
  </si>
  <si>
    <t xml:space="preserve">discussing::solution::design::(requirements::of::the::solution)::proposing::an::alternative</t>
  </si>
  <si>
    <t xml:space="preserve">reasons::why::not::accept::the::FFE::(number:.of::lines:.changed)</t>
  </si>
  <si>
    <t xml:space="preserve">discussing::the::cons::of::a::design::choice::to::keep::project::inside::nova</t>
  </si>
  <si>
    <t xml:space="preserve">reasons::why::the::FEE::should::be::given</t>
  </si>
  <si>
    <t xml:space="preserve">discussing::the::depracation::of::a::feature::which::would::block::the::BP</t>
  </si>
  <si>
    <t xml:space="preserve">reference::another::email::thread</t>
  </si>
  <si>
    <t xml:space="preserve">discussing::the::new::release::deadline::for::BP/feature::due::to::rejection::of::FFE</t>
  </si>
  <si>
    <t xml:space="preserve">reference::BP</t>
  </si>
  <si>
    <t xml:space="preserve">reference::meeting</t>
  </si>
  <si>
    <t xml:space="preserve">divide::and::conquer::methodology::for::a::group::of::features::which::includes::the::BP/feature</t>
  </si>
  <si>
    <t xml:space="preserve">reference::review</t>
  </si>
  <si>
    <t xml:space="preserve">draft::proposal::for::implementing::the::BP/feature::not::production::code</t>
  </si>
  <si>
    <t xml:space="preserve">reference::tag</t>
  </si>
  <si>
    <t xml:space="preserve">reference::wiki</t>
  </si>
  <si>
    <t xml:space="preserve">expectations::of::addressing::the::proposed::BP/feature::as::API</t>
  </si>
  <si>
    <t xml:space="preserve">reference::wiki::(meetings)</t>
  </si>
  <si>
    <t xml:space="preserve">expectations::of::addressing::the::proposed::BP/feature::in::software::compatibility</t>
  </si>
  <si>
    <t xml:space="preserve">reference::wiki::(meetings::agenda)</t>
  </si>
  <si>
    <t xml:space="preserve">expectations::of::addressing::the::proposed::BP/feature::in::software::reliability</t>
  </si>
  <si>
    <t xml:space="preserve">reminder::to::review::high-priority::reviews::(including::BP)</t>
  </si>
  <si>
    <t xml:space="preserve">expectations::of::addressing::the::proposed::BP/feature::in::software::security</t>
  </si>
  <si>
    <t xml:space="preserve">requesting::information::(development::progress)</t>
  </si>
  <si>
    <t xml:space="preserve">expectations::of::releasing::the::proposed::BP/feature::resourceAllocation::scheduling::policies</t>
  </si>
  <si>
    <t xml:space="preserve">requesting::investigation::(specific::failures)</t>
  </si>
  <si>
    <t xml:space="preserve">False::Positive</t>
  </si>
  <si>
    <t xml:space="preserve">requesting::review</t>
  </si>
  <si>
    <t xml:space="preserve">False::Positive::(in::thread::no::practice)</t>
  </si>
  <si>
    <t xml:space="preserve">requesting::temporary::fix</t>
  </si>
  <si>
    <t xml:space="preserve">False::Positive::(in::thread::not::BP::related)</t>
  </si>
  <si>
    <t xml:space="preserve">sharing::ideas::for::implementation</t>
  </si>
  <si>
    <t xml:space="preserve">False::Positive::(in::thread::not::bug::related)</t>
  </si>
  <si>
    <t xml:space="preserve">steps::needed::before::executing::the::level::up::of::feature</t>
  </si>
  <si>
    <t xml:space="preserve">False::Positive::NOT::related::at::all</t>
  </si>
  <si>
    <t xml:space="preserve">suggesting::discussing::topic::in::meeting</t>
  </si>
  <si>
    <t xml:space="preserve">test::performance::improvement</t>
  </si>
  <si>
    <t xml:space="preserve">thanking::for::effort</t>
  </si>
  <si>
    <t xml:space="preserve">updating::documentation::for::feature::(feautre::not::up::to::date)</t>
  </si>
  <si>
    <t xml:space="preserve">history::of::the::bug/BP</t>
  </si>
  <si>
    <t xml:space="preserve">asking::clarification::about::intended::development::process</t>
  </si>
  <si>
    <t xml:space="preserve">how::to::adress::bugs::(not::bp/feature::related)</t>
  </si>
  <si>
    <t xml:space="preserve">providing::clarification::about::intended::development::process</t>
  </si>
  <si>
    <t xml:space="preserve">impact::of::depracating::a::feature::(not::BP)</t>
  </si>
  <si>
    <t xml:space="preserve">impact::of::the::bug::fix::(open::oportunities::to::new:.changes)</t>
  </si>
  <si>
    <t xml:space="preserve">implement::a::temporal::solution::that::will::be::later::improved</t>
  </si>
  <si>
    <t xml:space="preserve">including::people::from::different::but::related::thread::to::the::actual::thread</t>
  </si>
  <si>
    <t xml:space="preserve">indicating::status::of::cycle::of::development::for::a::milestone::including::feature/BP/bug</t>
  </si>
  <si>
    <t xml:space="preserve">indicating::status::of::cycle::of::development::for::a::patch</t>
  </si>
  <si>
    <t xml:space="preserve">indicating::status::of::cycle::of::development::for::a::project</t>
  </si>
  <si>
    <t xml:space="preserve">indicating::status::of::cycle::of::development::for::a::project::(related::to::BP::topic)</t>
  </si>
  <si>
    <t xml:space="preserve">indicating::status::of::cycle::of::development::for::a::release</t>
  </si>
  <si>
    <t xml:space="preserve">indicating::status::of::cycle::of::development::for::specific::bugs::(other::bugs::not::feature/BP::related)</t>
  </si>
  <si>
    <t xml:space="preserve">indicating::status::of::cycle::of::development::for::the::BP/feature</t>
  </si>
  <si>
    <t xml:space="preserve">informing::abandoning::abandoned::ppojects::(exercises)</t>
  </si>
  <si>
    <t xml:space="preserve">informing::code::push</t>
  </si>
  <si>
    <t xml:space="preserve">informing::concerns::for::introducing::more::code::(time::constraints)::(current::development::cycle)</t>
  </si>
  <si>
    <t xml:space="preserve">informing::duplication::of::code::in::the::presented::design::solution:::(code)</t>
  </si>
  <si>
    <t xml:space="preserve">informing::filing::bug::due::to::new::functionality::that::was::enabled::thanks::to::the::BP</t>
  </si>
  <si>
    <t xml:space="preserve">maybe: providing::clarification::intended::solution::design</t>
  </si>
  <si>
    <t xml:space="preserve">informing::functionallity::(current::code)::interaction::between::projects</t>
  </si>
  <si>
    <t xml:space="preserve">informing::functionallity::(current::code)::previous::related::developments</t>
  </si>
  <si>
    <t xml:space="preserve">informing::functionallity::limitations::(current::code)::interaction::between::projects</t>
  </si>
  <si>
    <t xml:space="preserve">informing::good::clarification::of::design</t>
  </si>
  <si>
    <t xml:space="preserve">interaction::of::different::projects::(nova::neutron)::with::the::change::introduced::by::the:BP</t>
  </si>
  <si>
    <t xml:space="preserve">interest::on::details::about::the::alternative::enhancement::of::a::BP/feature::(external::developer)</t>
  </si>
  <si>
    <t xml:space="preserve">interest::on::working::on::related::BP::(different::project)</t>
  </si>
  <si>
    <t xml:space="preserve">inviting::the::external::developer::to::internal::meetings::to::discuss::more::about::BP/feature</t>
  </si>
  <si>
    <t xml:space="preserve">irrelevant</t>
  </si>
  <si>
    <t xml:space="preserve">justifying::the::alternative::design::solution</t>
  </si>
  <si>
    <t xml:space="preserve">justifying::the::need::for::the::proposed::BP/feature</t>
  </si>
  <si>
    <t xml:space="preserve">keeping::inside::project::as::it::is</t>
  </si>
  <si>
    <t xml:space="preserve">leverl::up::another::feature:.in::a::new::project</t>
  </si>
  <si>
    <t xml:space="preserve">mentioned::other::BPs</t>
  </si>
  <si>
    <t xml:space="preserve">mentioned::other::reviews</t>
  </si>
  <si>
    <t xml:space="preserve">mentioned::the::BP::as::a::solution::to::a::need</t>
  </si>
  <si>
    <t xml:space="preserve">mentioned::the::BP::as::an::example::of::work::in::progress::of::the::discussed::topic</t>
  </si>
  <si>
    <t xml:space="preserve">mentioned::the::BP::as::part::of::current::development::cycle</t>
  </si>
  <si>
    <t xml:space="preserve">mentioned::the::BP::as::part::of::feature::parity::with::other::project</t>
  </si>
  <si>
    <t xml:space="preserve">mentioned::the::change</t>
  </si>
  <si>
    <t xml:space="preserve">mentioning::conditions::to::do::a::feature::freeze::exception</t>
  </si>
  <si>
    <t xml:space="preserve">mentioning::documented::dependency::of::the::BP</t>
  </si>
  <si>
    <t xml:space="preserve">mentioning::implications::to::do::a::feature::freeze::exception</t>
  </si>
  <si>
    <t xml:space="preserve">mentioning::importance::of::BP::in::release::version</t>
  </si>
  <si>
    <t xml:space="preserve">mentioning::status::of::version::after::current::release::cycle</t>
  </si>
  <si>
    <t xml:space="preserve">mentioning::that::the::existing::BP/feature::partially::covers::some::of::the::new::requested::features</t>
  </si>
  <si>
    <t xml:space="preserve">new::features::proposed::on::top::of::the::BP/feature</t>
  </si>
  <si>
    <t xml:space="preserve">new::functionality::that::was::enabled::thanks::to::the::BP</t>
  </si>
  <si>
    <t xml:space="preserve">not::having::the::proposed::BP/feature::is::the::cause::of::a::bug</t>
  </si>
  <si>
    <t xml:space="preserve">offering::help::to::implement::test</t>
  </si>
  <si>
    <t xml:space="preserve">other::project::that::can::be::benefited::from::the::BP/feature</t>
  </si>
  <si>
    <t xml:space="preserve">overlap::and::differences::between::similar::functionalities::between::two::development::process::(nova::and::external::developer)</t>
  </si>
  <si>
    <t xml:space="preserve">possible::reasons::why::it::has::not::been::merged::(conflict::heavy)</t>
  </si>
  <si>
    <t xml:space="preserve">precendence::of::the::BP/feature::in::another::development::process</t>
  </si>
  <si>
    <t xml:space="preserve">problems::encounter::while:.depeloving::BP/feature</t>
  </si>
  <si>
    <t xml:space="preserve">proposed::alternative::design::solution::(with::code)</t>
  </si>
  <si>
    <t xml:space="preserve">proposing::bug::solution::(text)</t>
  </si>
  <si>
    <t xml:space="preserve">proposing::development::project::(as::API)</t>
  </si>
  <si>
    <t xml:space="preserve">proposing::keep::project::as::experimental::project</t>
  </si>
  <si>
    <t xml:space="preserve">proposing::not::allowing::the::BP/feature::FFE::instead::moving::the::changes::to::next::iteration</t>
  </si>
  <si>
    <t xml:space="preserve">proposing::reaching::out::users::about::the::usage::of::a::functionality</t>
  </si>
  <si>
    <t xml:space="preserve">propossing::design::for::interaction::of::different::projects::(nova::neutron)::due::to::change::introduced::by::the:BP</t>
  </si>
  <si>
    <t xml:space="preserve">pros::design::choice::to::keep::project::inside::nova::(user::importance)</t>
  </si>
  <si>
    <t xml:space="preserve">providing::a::clarification::for::proposed::a::solution::to::bug::due::to::new::functionality::that::was::enabled::thanks::to::the::BP</t>
  </si>
  <si>
    <t xml:space="preserve">providing::advice::development::process::(meetings)</t>
  </si>
  <si>
    <t xml:space="preserve">providing::advice::development::process::(organizing::developers::groups)</t>
  </si>
  <si>
    <t xml:space="preserve">providing::advice::development::process::(tests::move::them::out:nova)</t>
  </si>
  <si>
    <t xml:space="preserve">providing::advice::development::process::(tests::process)</t>
  </si>
  <si>
    <t xml:space="preserve">providing::clarification::about::conditions::to::change::status::of::project::(removing:.label::experimental)::which::holds::the::BP</t>
  </si>
  <si>
    <t xml:space="preserve">providing::clarification::about::cons::design::choice::(hybrid::compute::nodes)</t>
  </si>
  <si>
    <t xml:space="preserve">providing::clarification::about::design::proposal::for::each::project</t>
  </si>
  <si>
    <t xml:space="preserve">providing::clarification::about::functionallity::(how::to::enable::in::the::future)</t>
  </si>
  <si>
    <t xml:space="preserve">providing::clarification::about::functionallity::(how::to::enable::in::the::future)::design</t>
  </si>
  <si>
    <t xml:space="preserve">providing::clarification::about::more::details::of::the::design::choice::(flow)</t>
  </si>
  <si>
    <t xml:space="preserve">providing::clarification::about::solution::design::(components::of::the::solution)</t>
  </si>
  <si>
    <t xml:space="preserve">providing::clarification::about::status::of::project::(removing:.label::experimental)::which::holds::the::BP</t>
  </si>
  <si>
    <t xml:space="preserve">providing::clarification::interaction::of::different::projects::(nova::neutron)::with::the::change::introduced::by::the:BP</t>
  </si>
  <si>
    <t xml:space="preserve">providing::clarifications::about::bug::trace::implications</t>
  </si>
  <si>
    <t xml:space="preserve">purpose/attempting::of::implementing::the::BP/feature</t>
  </si>
  <si>
    <t xml:space="preserve">question::about::if::it::is::right::place::to::ask::about::bp/feature</t>
  </si>
  <si>
    <t xml:space="preserve">reasons::for::not::meeting::the::initial::development::deadline</t>
  </si>
  <si>
    <t xml:space="preserve">reasons::why::the::FFE::could::be::rejected::(not::complete::test::suit)</t>
  </si>
  <si>
    <t xml:space="preserve">reasons::why::the::FFE::was::rejected::(refactoring::structure::,::data::format)</t>
  </si>
  <si>
    <t xml:space="preserve">reference::BP::related</t>
  </si>
  <si>
    <t xml:space="preserve">reference::development::guides</t>
  </si>
  <si>
    <t xml:space="preserve">reference::etherpad</t>
  </si>
  <si>
    <t xml:space="preserve">reference::repository</t>
  </si>
  <si>
    <t xml:space="preserve">reference::review::(related)</t>
  </si>
  <si>
    <t xml:space="preserve">reference::specification</t>
  </si>
  <si>
    <t xml:space="preserve">reference::topic</t>
  </si>
  <si>
    <t xml:space="preserve">requesting::a::meeeting::(IRC)</t>
  </si>
  <si>
    <t xml:space="preserve">requesting::feature::freeze::exception::for::BP/feature</t>
  </si>
  <si>
    <t xml:space="preserve">requesting::feature::freeze::exception::for::BP/feature/patch::include::bug</t>
  </si>
  <si>
    <t xml:space="preserve">requesting::feature::freeze::exception::for::BP/feature::include::bug</t>
  </si>
  <si>
    <t xml:space="preserve">requesting::feature::freeze::exception::for::BP/feature::include::patch</t>
  </si>
  <si>
    <t xml:space="preserve">requesting::feature::freeze::exception::for::revire::to::include::BP/feature</t>
  </si>
  <si>
    <t xml:space="preserve">requesting::removing::negative::votes::in::bugs</t>
  </si>
  <si>
    <t xml:space="preserve">requesting::update::develpment::process::(agenda::meeting)::if::needed</t>
  </si>
  <si>
    <t xml:space="preserve">requesting::update::develpment::process::(BP)::if::needed</t>
  </si>
  <si>
    <t xml:space="preserve">results::of::a::previous::meeting::BP/feature</t>
  </si>
  <si>
    <t xml:space="preserve">results::of::a::previous::meeting::other</t>
  </si>
  <si>
    <t xml:space="preserve">security::issues</t>
  </si>
  <si>
    <t xml:space="preserve">setting::deadline::to::approve::a::review</t>
  </si>
  <si>
    <t xml:space="preserve">solution::for::the::responsabilities::left::of::by::other::developers::(bug/BP/feature::related)</t>
  </si>
  <si>
    <t xml:space="preserve">specification::of::the::build::system::used::for::doing::the::BP</t>
  </si>
  <si>
    <t xml:space="preserve">splitting::the::changes::into::specific::BP::(The::current::bp::related)</t>
  </si>
  <si>
    <t xml:space="preserve">suggesting::development::process::(split::changes::into::smaller::pieces)::for::summit</t>
  </si>
  <si>
    <t xml:space="preserve">suggesting::discussing::topic::online</t>
  </si>
  <si>
    <t xml:space="preserve">suggestions:.of::improvements::of::the::software::based:.on::new::opportunities:.based::on::changes::needed:.for:.the::bug</t>
  </si>
  <si>
    <t xml:space="preserve">summary::of::the::design::choices::(in::the::mailing::list)</t>
  </si>
  <si>
    <t xml:space="preserve">taking::care::of::review::in::related::changes::of::the::project</t>
  </si>
  <si>
    <t xml:space="preserve">testing::performance::of::drafted::proposal::for::implementing::the::BP/feature::not::production::code</t>
  </si>
  <si>
    <t xml:space="preserve">updating::documentation::for::a::new::feature/BP</t>
  </si>
  <si>
    <t xml:space="preserve">code_requesting::(implementation)</t>
  </si>
  <si>
    <t xml:space="preserve">code_discussing::(implementation)</t>
  </si>
  <si>
    <t xml:space="preserve">draft::proposal::for::implementing::the::bp/feature::not::production::code</t>
  </si>
  <si>
    <t xml:space="preserve">code_informing::(implementation)</t>
  </si>
  <si>
    <t xml:space="preserve">code_discussing::(test)</t>
  </si>
  <si>
    <t xml:space="preserve">change_suggestion::(solution::design)</t>
  </si>
  <si>
    <t xml:space="preserve">refactoring_informing::(!!todo::missing::topic!!)</t>
  </si>
  <si>
    <t xml:space="preserve">development::process_informing::(!!todo::missing::topic!!)</t>
  </si>
  <si>
    <t xml:space="preserve">reminder::to::review::high-priority::reviews::(including::bp)</t>
  </si>
  <si>
    <t xml:space="preserve">deadline::of::tasks::associated::to::bp::approaching</t>
  </si>
  <si>
    <t xml:space="preserve">approval::ffe</t>
  </si>
  <si>
    <t xml:space="preserve">proposing::not::allowing::the::bp/feature::ffe::instead::moving::the::changes::to::next::iteration</t>
  </si>
  <si>
    <t xml:space="preserve">reasons::why::the::fee::should::be::given</t>
  </si>
  <si>
    <t xml:space="preserve">reasons::why::not::accept::the::ffe::(number:.of::lines:.changed)</t>
  </si>
  <si>
    <t xml:space="preserve">reasons::why::not::accept::the::FFE</t>
  </si>
  <si>
    <t xml:space="preserve">agreeing::to::reject::a::ffe::for::the::bp::that::includes::the::bug</t>
  </si>
  <si>
    <t xml:space="preserve">agreeing::to::do::a::ffe::for::the::bp</t>
  </si>
  <si>
    <t xml:space="preserve">ffe::request</t>
  </si>
  <si>
    <t xml:space="preserve">aknowledgeing::that:.adressing:feedback::needed:.to::ffe</t>
  </si>
  <si>
    <t xml:space="preserve">development::process_discussing::(roles)</t>
  </si>
  <si>
    <t xml:space="preserve">development::process_requesting::(meetings)</t>
  </si>
  <si>
    <t xml:space="preserve">development::process_discussing::(meetings)</t>
  </si>
  <si>
    <t xml:space="preserve">discussing::development::process::(next::meeting::related::bp::priority::not::delaying)</t>
  </si>
  <si>
    <t xml:space="preserve">proposal::to::discuss::topic::(related:.to::bp)::in::summit::(global::meeting)</t>
  </si>
  <si>
    <t xml:space="preserve">conflicts::meeting::group::to::discuss::bp/feature</t>
  </si>
  <si>
    <t xml:space="preserve">development::process_requesting::(next::development::cycle)</t>
  </si>
  <si>
    <t xml:space="preserve">development::process_requesting::(triage)</t>
  </si>
  <si>
    <t xml:space="preserve">discussing::the::new::release::deadline::for::bp/feature::due::to::rejection::of::ffe</t>
  </si>
  <si>
    <t xml:space="preserve">asking::for:.an::existing::bug/bp::to:.work::on</t>
  </si>
  <si>
    <t xml:space="preserve">development::process_informing::(system::specification)</t>
  </si>
  <si>
    <t xml:space="preserve">issue_informing::(!!todo::missing::topic!!)</t>
  </si>
  <si>
    <t xml:space="preserve">mentioned::the::bp</t>
  </si>
  <si>
    <t xml:space="preserve">clarified::concepts::of::the::mentioned::bp</t>
  </si>
  <si>
    <t xml:space="preserve">issue_discussing::(issue::description)</t>
  </si>
  <si>
    <t xml:space="preserve">alternative::solution::to::encountered::errors::while::implementing::feature/bp</t>
  </si>
  <si>
    <t xml:space="preserve">question::about::dependencies::of::bp::with::nova</t>
  </si>
  <si>
    <t xml:space="preserve">proving::aswer::about::dependencies::of::bp::with::nova</t>
  </si>
  <si>
    <t xml:space="preserve">issue_discussing::(solution::design::test)</t>
  </si>
  <si>
    <t xml:space="preserve">issue_requesting::(solution::design::test)</t>
  </si>
  <si>
    <t xml:space="preserve">issue_informing::(solution::design::test)</t>
  </si>
  <si>
    <t xml:space="preserve">issue_discussing::(solution::design::architecture)</t>
  </si>
  <si>
    <t xml:space="preserve">asking::for::creation::(specification::new::api)</t>
  </si>
  <si>
    <t xml:space="preserve">issue_discussing::(maintainability::and::compatibility)</t>
  </si>
  <si>
    <t xml:space="preserve">conditions::to::deprecate::a::feature::(not::bp)</t>
  </si>
  <si>
    <t xml:space="preserve">issue_requesting::(maintainability::and::compatibility)</t>
  </si>
  <si>
    <t xml:space="preserve">asking::clarification::of::backporting::other::features::of::the::same::release::of::bp</t>
  </si>
  <si>
    <t xml:space="preserve">providing::clarification::of::backporting::other::features::of::the::same::release::of::bp::(oportunistic::approach)</t>
  </si>
  <si>
    <t xml:space="preserve">issue_discussing::(security)</t>
  </si>
  <si>
    <t xml:space="preserve">issue_discussing::(performance)</t>
  </si>
  <si>
    <t xml:space="preserve">functionality::that::was::enabled::thanks::to::the::bp::introduced::a::bug</t>
  </si>
  <si>
    <t xml:space="preserve">issue_requesting::(related::bug)</t>
  </si>
  <si>
    <t xml:space="preserve">proposing::a::solution::to::bug::due::to::new::functionality::that::was::enabled::thanks::to::the::bp</t>
  </si>
  <si>
    <t xml:space="preserve">agreeing::with::the::solution::proposed::for::bug::due::to::new::functionality::that::was::enabled::thanks::to::the::bp</t>
  </si>
  <si>
    <t xml:space="preserve">issue_discussing::(related::spec)</t>
  </si>
  <si>
    <t xml:space="preserve">discussing::topics::of::a::bp::related</t>
  </si>
  <si>
    <t xml:space="preserve">issue_discussing::(related::issue)</t>
  </si>
  <si>
    <t xml:space="preserve">issue_discussing::(related::project)</t>
  </si>
  <si>
    <t xml:space="preserve">issue_informing::(related::project)</t>
  </si>
  <si>
    <t xml:space="preserve">errors::encounter::while::following::the::bp/feature::especification</t>
  </si>
  <si>
    <t xml:space="preserve">issue_requesting::(logs::and::debugging)</t>
  </si>
  <si>
    <t xml:space="preserve">issue_discussing::(expected::behavior)</t>
  </si>
  <si>
    <t xml:space="preserve">issue_informing::(bug::occurence)</t>
  </si>
  <si>
    <t xml:space="preserve">reference::bp</t>
  </si>
  <si>
    <t xml:space="preserve">reference::bp::related</t>
  </si>
  <si>
    <t xml:space="preserve">arguments::for::FFE::(issues::require::fixing)</t>
  </si>
  <si>
    <t xml:space="preserve">ask::for::advice</t>
  </si>
  <si>
    <t xml:space="preserve">asking::clarifications::about::the::usage::of::a::specific::technology::to::resolve::bugs</t>
  </si>
  <si>
    <t xml:space="preserve">asking::for::clarification::about::bugs::(more::information::needed)</t>
  </si>
  <si>
    <t xml:space="preserve">asking::for::clarification::of::a::poposed::solution::of::another::bug</t>
  </si>
  <si>
    <t xml:space="preserve">asking::for::FFE</t>
  </si>
  <si>
    <t xml:space="preserve">asking::for::help::testing::other::bugs</t>
  </si>
  <si>
    <t xml:space="preserve">asking::for::the::status::of::a::CI::for::testing::libvirt</t>
  </si>
  <si>
    <t xml:space="preserve">discussing::backwards::compatebility::(dependency)</t>
  </si>
  <si>
    <t xml:space="preserve">conerns::that::are::covered::by::the::bug</t>
  </si>
  <si>
    <t xml:space="preserve">informing::frustration::(failing::tests)</t>
  </si>
  <si>
    <t xml:space="preserve">conerns::that::are::covered::not::covered::by::the::bug::and::request::new::filings::bugs</t>
  </si>
  <si>
    <t xml:space="preserve">deprecate::usage::of::tool::in::case::no::CI::for::testing::is::found</t>
  </si>
  <si>
    <t xml:space="preserve">informing::will::add::new::issues</t>
  </si>
  <si>
    <t xml:space="preserve">describe::bug::that::is::fixed</t>
  </si>
  <si>
    <t xml:space="preserve">mentioning::bugs::addressed</t>
  </si>
  <si>
    <t xml:space="preserve">filing::new::tickets::if::required::not::bug::related</t>
  </si>
  <si>
    <t xml:space="preserve">mentioning::bugs::fixed::(partially)</t>
  </si>
  <si>
    <t xml:space="preserve">How::to::fix::the::bug</t>
  </si>
  <si>
    <t xml:space="preserve">mentioning::bugs::found</t>
  </si>
  <si>
    <t xml:space="preserve">importance::bug</t>
  </si>
  <si>
    <t xml:space="preserve">mentioning::technology::not::documented</t>
  </si>
  <si>
    <t xml:space="preserve">information::provided::by::documentation::project::on::how::to::handle::tests</t>
  </si>
  <si>
    <t xml:space="preserve">main::responsible::for::te::bug::not available</t>
  </si>
  <si>
    <t xml:space="preserve">not::having::a::CI::for::testing::some::components::of::the::proposed::solution::of::the::bug</t>
  </si>
  <si>
    <t xml:space="preserve">mentioning::a::released::patch::about::another::bugs</t>
  </si>
  <si>
    <t xml:space="preserve">person::responsible::unavailable::(temporarily)</t>
  </si>
  <si>
    <t xml:space="preserve">problems::implementing::the::fix::due::to::tests::failures</t>
  </si>
  <si>
    <t xml:space="preserve">not::knowing::how::to::fix::bug</t>
  </si>
  <si>
    <t xml:space="preserve">refers::to::file</t>
  </si>
  <si>
    <t xml:space="preserve">overcome::delay::on::resolve::the::bugs</t>
  </si>
  <si>
    <t xml:space="preserve">refers::to::issue::(bug)</t>
  </si>
  <si>
    <t xml:space="preserve">possible::path::for::a::solution</t>
  </si>
  <si>
    <t xml:space="preserve">refers::to::mailinglist</t>
  </si>
  <si>
    <t xml:space="preserve">refers::to::review</t>
  </si>
  <si>
    <t xml:space="preserve">propossal::solution::for::missing::CI::tool</t>
  </si>
  <si>
    <t xml:space="preserve">result::output::tests::for::the::modified::files</t>
  </si>
  <si>
    <t xml:space="preserve">what::to::do::if::something::is::not::tested</t>
  </si>
  <si>
    <t xml:space="preserve">status::of::cycle::of::development::for::the::bug</t>
  </si>
  <si>
    <t xml:space="preserve">support::matrix::of::Features::and::software</t>
  </si>
  <si>
    <t xml:space="preserve">!!todo::missing!!_requesting::(!!todo::missing!!)</t>
  </si>
  <si>
    <t xml:space="preserve">manually verified because it was to generic. we both use it in the same spot where the author asks for help with his fix</t>
  </si>
  <si>
    <t xml:space="preserve">development::process_discussing::(CI)</t>
  </si>
  <si>
    <t xml:space="preserve">development::process_requesting::(CI)</t>
  </si>
  <si>
    <t xml:space="preserve">development::process_informing::(test)</t>
  </si>
  <si>
    <t xml:space="preserve">development::process_discussing::(ffe::request)</t>
  </si>
  <si>
    <t xml:space="preserve">development::process_informing::(related::issue)</t>
  </si>
  <si>
    <t xml:space="preserve">development::process_informing::(related::bug)</t>
  </si>
  <si>
    <t xml:space="preserve">development::process_requesting::(related::bug)</t>
  </si>
  <si>
    <t xml:space="preserve">alternatives</t>
  </si>
  <si>
    <t xml:space="preserve">alternatives::(none)</t>
  </si>
  <si>
    <t xml:space="preserve">components::of::BP::description</t>
  </si>
  <si>
    <t xml:space="preserve">code::example</t>
  </si>
  <si>
    <t xml:space="preserve">condittion::of::testing</t>
  </si>
  <si>
    <t xml:space="preserve">dependencies</t>
  </si>
  <si>
    <t xml:space="preserve">cons::of::alternative2::solution</t>
  </si>
  <si>
    <t xml:space="preserve">dependencies::(none)</t>
  </si>
  <si>
    <t xml:space="preserve">cons::of::solution</t>
  </si>
  <si>
    <t xml:space="preserve">documentation::(API)</t>
  </si>
  <si>
    <t xml:space="preserve">definition::REST::API</t>
  </si>
  <si>
    <t xml:space="preserve">documentation::(network)</t>
  </si>
  <si>
    <t xml:space="preserve">documentation::(unexposed::API)</t>
  </si>
  <si>
    <t xml:space="preserve">external::references</t>
  </si>
  <si>
    <t xml:space="preserve">documentation::(usage)</t>
  </si>
  <si>
    <t xml:space="preserve">external::references::(Mailing::list)</t>
  </si>
  <si>
    <t xml:space="preserve">external::references::(user::guides)</t>
  </si>
  <si>
    <t xml:space="preserve">external::references::(another::blueprint)</t>
  </si>
  <si>
    <t xml:space="preserve">false::postive::(not::clear::relation::with::Introducing::issue)</t>
  </si>
  <si>
    <t xml:space="preserve">external::references::(blueprint)</t>
  </si>
  <si>
    <t xml:space="preserve">external::references::(etherpad)</t>
  </si>
  <si>
    <t xml:space="preserve">fix::merged::(link::review::commit)::not::main::branch</t>
  </si>
  <si>
    <t xml:space="preserve">external::references::(other::github::project)</t>
  </si>
  <si>
    <t xml:space="preserve">history::of::bp</t>
  </si>
  <si>
    <t xml:space="preserve">external::references::(review)</t>
  </si>
  <si>
    <t xml:space="preserve">impact::(documentation)</t>
  </si>
  <si>
    <t xml:space="preserve">external::references::(summit)</t>
  </si>
  <si>
    <t xml:space="preserve">impact::(on::API)</t>
  </si>
  <si>
    <t xml:space="preserve">impact::(on::data::model)</t>
  </si>
  <si>
    <t xml:space="preserve">impact::(on::developer)</t>
  </si>
  <si>
    <t xml:space="preserve">impact::(on::notifications)</t>
  </si>
  <si>
    <t xml:space="preserve">impact::(on::other::end::users)</t>
  </si>
  <si>
    <t xml:space="preserve">impact::(documentation::-&gt;::none)</t>
  </si>
  <si>
    <t xml:space="preserve">impact::(on::performance)</t>
  </si>
  <si>
    <t xml:space="preserve">impact::(other::deployer::impact)</t>
  </si>
  <si>
    <t xml:space="preserve">impact::(on::API::-&gt;::none)</t>
  </si>
  <si>
    <t xml:space="preserve">impact::(security)</t>
  </si>
  <si>
    <t xml:space="preserve">mentioned::bp::as::part::of:.meeting::agenda</t>
  </si>
  <si>
    <t xml:space="preserve">impact::(on::data::model::-&gt;::none)</t>
  </si>
  <si>
    <t xml:space="preserve">mentioned::bp::as::part::of:.release</t>
  </si>
  <si>
    <t xml:space="preserve">mitigations::of::cons::solution2</t>
  </si>
  <si>
    <t xml:space="preserve">impact::(on::developer::-&gt;::none)</t>
  </si>
  <si>
    <t xml:space="preserve">objective::of::the::BP/feature</t>
  </si>
  <si>
    <t xml:space="preserve">possible::extension::BP/feature</t>
  </si>
  <si>
    <t xml:space="preserve">impact::(on::notifications::-&gt;::none)</t>
  </si>
  <si>
    <t xml:space="preserve">problem::description</t>
  </si>
  <si>
    <t xml:space="preserve">project::priority</t>
  </si>
  <si>
    <t xml:space="preserve">impact::(on::other::end::users::-&gt;::none)</t>
  </si>
  <si>
    <t xml:space="preserve">impact::(on::performance::-&gt;::none)</t>
  </si>
  <si>
    <t xml:space="preserve">proposed::change</t>
  </si>
  <si>
    <t xml:space="preserve">impact::(other::deployer::impact::-&gt;::none)</t>
  </si>
  <si>
    <t xml:space="preserve">proposed::change::alternative2</t>
  </si>
  <si>
    <t xml:space="preserve">relation::with::other::BP/feature</t>
  </si>
  <si>
    <t xml:space="preserve">impact::(security::-&gt;::none)</t>
  </si>
  <si>
    <t xml:space="preserve">responsibilities::(assignees)</t>
  </si>
  <si>
    <t xml:space="preserve">links::blueprint</t>
  </si>
  <si>
    <t xml:space="preserve">scope::of::BP</t>
  </si>
  <si>
    <t xml:space="preserve">links::to::external::logs</t>
  </si>
  <si>
    <t xml:space="preserve">source::of::the::bug::(link::to::paste::open::stack)</t>
  </si>
  <si>
    <t xml:space="preserve">steps::to::follow::BP</t>
  </si>
  <si>
    <t xml:space="preserve">summary::problem</t>
  </si>
  <si>
    <t xml:space="preserve">units::of::work</t>
  </si>
  <si>
    <t xml:space="preserve">use::cases::of::the::BP</t>
  </si>
  <si>
    <t xml:space="preserve">project::priority::(none)</t>
  </si>
  <si>
    <t xml:space="preserve">subtask::priorities</t>
  </si>
  <si>
    <t xml:space="preserve">testing</t>
  </si>
  <si>
    <t xml:space="preserve">testing::(tempest::tests)</t>
  </si>
  <si>
    <t xml:space="preserve">testing::(unit::tests)</t>
  </si>
  <si>
    <t xml:space="preserve">From WIKI:</t>
  </si>
  <si>
    <t xml:space="preserve">issue_informing::(documentation::application)</t>
  </si>
  <si>
    <t xml:space="preserve">??</t>
  </si>
  <si>
    <t xml:space="preserve">issue_informing::(documentation::developer)</t>
  </si>
  <si>
    <t xml:space="preserve">issue_informing::(documentation::testing)</t>
  </si>
  <si>
    <t xml:space="preserve">issue_informing::(documentation::end::user)</t>
  </si>
  <si>
    <t xml:space="preserve">issue_informing::(related::release)</t>
  </si>
  <si>
    <t xml:space="preserve">issue_informing::(spec::link)</t>
  </si>
  <si>
    <t xml:space="preserve">From Issue:</t>
  </si>
  <si>
    <t xml:space="preserve">link::to::bug::source</t>
  </si>
  <si>
    <t xml:space="preserve">blueprint -&gt; spec</t>
  </si>
  <si>
    <t xml:space="preserve">blueprint -&gt; wiki</t>
  </si>
  <si>
    <t xml:space="preserve">blueprint -&gt; specification</t>
  </si>
  <si>
    <t xml:space="preserve">similar--&gt; bug::to::the::studied:.bug
</t>
  </si>
  <si>
    <t xml:space="preserve">blueprint -&gt; wiki -&gt;meetings</t>
  </si>
  <si>
    <t xml:space="preserve">blueprint -&gt; wiki -&gt;release</t>
  </si>
  <si>
    <t xml:space="preserve">blueprint -&gt; word</t>
  </si>
  <si>
    <t xml:space="preserve">similar--&gt; bug::to::the::studied:.bug</t>
  </si>
  <si>
    <t xml:space="preserve">blueprint -&gt; wiki -&gt; meetings</t>
  </si>
  <si>
    <t xml:space="preserve">blueprint -&gt; wiki -&gt; release</t>
  </si>
  <si>
    <t xml:space="preserve">blueprint -&gt; shared::document</t>
  </si>
  <si>
    <t xml:space="preserve">bug -&gt; related::bug</t>
  </si>
  <si>
    <t xml:space="preserve">Babel</t>
  </si>
  <si>
    <t xml:space="preserve">aopalliance</t>
  </si>
  <si>
    <t xml:space="preserve">carrotsearch</t>
  </si>
  <si>
    <t xml:space="preserve">Citrix::XenServer::CI::(XenServer::CI)</t>
  </si>
  <si>
    <t xml:space="preserve">db::datasets::ci</t>
  </si>
  <si>
    <t xml:space="preserve">Docker::CI</t>
  </si>
  <si>
    <t xml:space="preserve">codehaus::jackson</t>
  </si>
  <si>
    <t xml:space="preserve">Dream::Host::CI</t>
  </si>
  <si>
    <t xml:space="preserve">Database::CI::(Turbo::hispter)</t>
  </si>
  <si>
    <t xml:space="preserve">eclipse::ide</t>
  </si>
  <si>
    <t xml:space="preserve">Distutilsextra</t>
  </si>
  <si>
    <t xml:space="preserve">elastic::recheck</t>
  </si>
  <si>
    <t xml:space="preserve">flake8</t>
  </si>
  <si>
    <t xml:space="preserve">Easy::install::(Setuptools)</t>
  </si>
  <si>
    <t xml:space="preserve">flake8::hacking</t>
  </si>
  <si>
    <t xml:space="preserve">forbiddenapis</t>
  </si>
  <si>
    <t xml:space="preserve">findbugs-maven-plugin</t>
  </si>
  <si>
    <t xml:space="preserve">genconfig</t>
  </si>
  <si>
    <t xml:space="preserve">gerrit</t>
  </si>
  <si>
    <t xml:space="preserve">git::review::(previous::to::pre::hooks)</t>
  </si>
  <si>
    <t xml:space="preserve">google::findbugs</t>
  </si>
  <si>
    <t xml:space="preserve">gradle</t>
  </si>
  <si>
    <t xml:space="preserve">gradle::wrapper</t>
  </si>
  <si>
    <t xml:space="preserve">Grenade</t>
  </si>
  <si>
    <t xml:space="preserve">Hacking::(Flake8)</t>
  </si>
  <si>
    <t xml:space="preserve">hamcrest</t>
  </si>
  <si>
    <t xml:space="preserve">Hyper</t>
  </si>
  <si>
    <t xml:space="preserve">IBM::PowerKVM::CI</t>
  </si>
  <si>
    <t xml:space="preserve">Intel PCI CI</t>
  </si>
  <si>
    <t xml:space="preserve">Intel::PCI::CI</t>
  </si>
  <si>
    <t xml:space="preserve">jacoco</t>
  </si>
  <si>
    <t xml:space="preserve">intelij::ide</t>
  </si>
  <si>
    <t xml:space="preserve">jarjar</t>
  </si>
  <si>
    <t xml:space="preserve">javadoc</t>
  </si>
  <si>
    <t xml:space="preserve">Jenkins</t>
  </si>
  <si>
    <t xml:space="preserve">jmeter</t>
  </si>
  <si>
    <t xml:space="preserve">junit</t>
  </si>
  <si>
    <t xml:space="preserve">log4j</t>
  </si>
  <si>
    <t xml:space="preserve">mailamp</t>
  </si>
  <si>
    <t xml:space="preserve">maven</t>
  </si>
  <si>
    <t xml:space="preserve">maven-checkstyle-plugin</t>
  </si>
  <si>
    <t xml:space="preserve">maven::migration</t>
  </si>
  <si>
    <t xml:space="preserve">maven-jxr-plugin</t>
  </si>
  <si>
    <t xml:space="preserve">maven::repo::(appspot)</t>
  </si>
  <si>
    <t xml:space="preserve">maven-pmd-plugin</t>
  </si>
  <si>
    <t xml:space="preserve">maven::repo::(codehaus)</t>
  </si>
  <si>
    <t xml:space="preserve">maven::(own::repo)</t>
  </si>
  <si>
    <t xml:space="preserve">maven::repo::(googlecode)</t>
  </si>
  <si>
    <t xml:space="preserve">maven::(snakeyamlrepo)</t>
  </si>
  <si>
    <t xml:space="preserve">maven::repo::(java)</t>
  </si>
  <si>
    <t xml:space="preserve">maven::repo::(jboss)</t>
  </si>
  <si>
    <t xml:space="preserve">maven::repo::(maven::central)</t>
  </si>
  <si>
    <t xml:space="preserve">maven::repo::(sonatype)</t>
  </si>
  <si>
    <t xml:space="preserve">micro-benchmark</t>
  </si>
  <si>
    <t xml:space="preserve">Microsoft::Hyper-V::CI</t>
  </si>
  <si>
    <t xml:space="preserve">nosetest::(coverage)</t>
  </si>
  <si>
    <t xml:space="preserve">nosetest::(unit::test)</t>
  </si>
  <si>
    <t xml:space="preserve">maven::wagon</t>
  </si>
  <si>
    <t xml:space="preserve">OpenStack::Proposal::Bot</t>
  </si>
  <si>
    <t xml:space="preserve">pep8</t>
  </si>
  <si>
    <t xml:space="preserve">pep8::hacking</t>
  </si>
  <si>
    <t xml:space="preserve">NA</t>
  </si>
  <si>
    <t xml:space="preserve">pip</t>
  </si>
  <si>
    <t xml:space="preserve">nose</t>
  </si>
  <si>
    <t xml:space="preserve">pre::commit::hooks::(run::unit::tests)</t>
  </si>
  <si>
    <t xml:space="preserve">pyflakes</t>
  </si>
  <si>
    <t xml:space="preserve">Pylint</t>
  </si>
  <si>
    <t xml:space="preserve">readme</t>
  </si>
  <si>
    <t xml:space="preserve">regression::test::check::(automated)</t>
  </si>
  <si>
    <t xml:space="preserve">randomized::testing::(carrot)</t>
  </si>
  <si>
    <t xml:space="preserve">requirements::txt</t>
  </si>
  <si>
    <t xml:space="preserve">Setuptools</t>
  </si>
  <si>
    <t xml:space="preserve">requirements::txt::(test)</t>
  </si>
  <si>
    <t xml:space="preserve">SIGAR</t>
  </si>
  <si>
    <t xml:space="preserve">slf4j</t>
  </si>
  <si>
    <t xml:space="preserve">SmokeStack::CI</t>
  </si>
  <si>
    <t xml:space="preserve">smoketests</t>
  </si>
  <si>
    <t xml:space="preserve">Smoketests::CI</t>
  </si>
  <si>
    <t xml:space="preserve">Sphinx</t>
  </si>
  <si>
    <t xml:space="preserve">testng</t>
  </si>
  <si>
    <t xml:space="preserve">Tempest</t>
  </si>
  <si>
    <t xml:space="preserve">testr::(coverage)</t>
  </si>
  <si>
    <t xml:space="preserve">testr::(unit::test)</t>
  </si>
  <si>
    <t xml:space="preserve">Testools</t>
  </si>
  <si>
    <t xml:space="preserve">testtools::(unit::test::debugging)</t>
  </si>
  <si>
    <t xml:space="preserve">Testrepository*</t>
  </si>
  <si>
    <t xml:space="preserve">Tox</t>
  </si>
  <si>
    <t xml:space="preserve">Tox::(testenv)</t>
  </si>
  <si>
    <t xml:space="preserve">travis::CI</t>
  </si>
  <si>
    <t xml:space="preserve">Twissted*</t>
  </si>
  <si>
    <t xml:space="preserve">Unittest</t>
  </si>
  <si>
    <t xml:space="preserve">unittest::(unit::test)</t>
  </si>
  <si>
    <t xml:space="preserve">vagrant</t>
  </si>
  <si>
    <t xml:space="preserve">Virtualenv</t>
  </si>
  <si>
    <t xml:space="preserve">venv</t>
  </si>
  <si>
    <t xml:space="preserve">VMware::NSX::CI</t>
  </si>
  <si>
    <t xml:space="preserve">XenProject::CI</t>
  </si>
  <si>
    <t xml:space="preserve">babel</t>
  </si>
  <si>
    <t xml:space="preserve">Common</t>
  </si>
  <si>
    <t xml:space="preserve">Citrix::XenServer::CI</t>
  </si>
  <si>
    <t xml:space="preserve">grenade</t>
  </si>
  <si>
    <t xml:space="preserve">jenkins</t>
  </si>
  <si>
    <t xml:space="preserve">maven::repo::(secondary)</t>
  </si>
  <si>
    <t xml:space="preserve">maven::repo::(primary)</t>
  </si>
  <si>
    <t xml:space="preserve">pre::commit::hooks::(unit::tests)</t>
  </si>
  <si>
    <t xml:space="preserve">pylint</t>
  </si>
  <si>
    <t xml:space="preserve">setuptools</t>
  </si>
  <si>
    <t xml:space="preserve">sphinx</t>
  </si>
  <si>
    <t xml:space="preserve">tox</t>
  </si>
  <si>
    <t xml:space="preserve">twissted</t>
  </si>
  <si>
    <t xml:space="preserve">testtools</t>
  </si>
  <si>
    <t xml:space="preserve">unittest</t>
  </si>
  <si>
    <t xml:space="preserve">virtualenv</t>
  </si>
  <si>
    <t xml:space="preserve">DB::Datasets::CI</t>
  </si>
  <si>
    <t xml:space="preserve">IDE::configuration</t>
  </si>
  <si>
    <t xml:space="preserve">testrepository</t>
  </si>
  <si>
    <t xml:space="preserve">regression::test::scripts</t>
  </si>
  <si>
    <t xml:space="preserve">hyper</t>
  </si>
  <si>
    <t xml:space="preserve">distutils-extra</t>
  </si>
  <si>
    <t xml:space="preserve">easy::install::(setuptools)</t>
  </si>
  <si>
    <t xml:space="preserve">maven::repo::(internal)</t>
  </si>
  <si>
    <t xml:space="preserve">sigar</t>
  </si>
  <si>
    <t xml:space="preserve">tempest</t>
  </si>
  <si>
    <t xml:space="preserve">remote::repositories::(e.g.,::pip::maven::central)</t>
  </si>
  <si>
    <t xml:space="preserve">mixed</t>
  </si>
  <si>
    <t xml:space="preserve">na</t>
  </si>
  <si>
    <t xml:space="preserve">check::if::regressions::exist</t>
  </si>
  <si>
    <t xml:space="preserve">execution::and::reporting::of::automated::system::tests::(elastic::recheck)</t>
  </si>
  <si>
    <t xml:space="preserve">clean::up::temporary::files</t>
  </si>
  <si>
    <t xml:space="preserve">execution::automated::best::practice::enforcement::(forbiddenapis)</t>
  </si>
  <si>
    <t xml:space="preserve">customize::configuration::dependencies</t>
  </si>
  <si>
    <t xml:space="preserve">execution::automated::database::migrations</t>
  </si>
  <si>
    <t xml:space="preserve">execution::and::reporting::of::automated::system::tests</t>
  </si>
  <si>
    <t xml:space="preserve">execution::automated::merge::test</t>
  </si>
  <si>
    <t xml:space="preserve">execution::and::reporting::of::other::automated::tests</t>
  </si>
  <si>
    <t xml:space="preserve">execution::automated::performance::tests::(jmeter)</t>
  </si>
  <si>
    <t xml:space="preserve">execution::automated::merge::test*</t>
  </si>
  <si>
    <t xml:space="preserve">execution::automated::performance::tests::(jmeter/micro)</t>
  </si>
  <si>
    <t xml:space="preserve">execution::automated::randomized::tests</t>
  </si>
  <si>
    <t xml:space="preserve">execution::automated::randomized::tests::(carrotsearch)</t>
  </si>
  <si>
    <t xml:space="preserve">execution::automated::smoke::tests</t>
  </si>
  <si>
    <t xml:space="preserve">execution::automated::unit::and::integration::tests</t>
  </si>
  <si>
    <t xml:space="preserve">execution::automated::test::config::generation</t>
  </si>
  <si>
    <t xml:space="preserve">generation::of::source::code::documentation</t>
  </si>
  <si>
    <t xml:space="preserve">execution::automated::testenv::setup::(devstack)</t>
  </si>
  <si>
    <t xml:space="preserve">measurement::and::reporting::of::code::coverage</t>
  </si>
  <si>
    <t xml:space="preserve">execution::automated::testenv::setup::(grenade)</t>
  </si>
  <si>
    <t xml:space="preserve">testing::in::different::python::versions</t>
  </si>
  <si>
    <t xml:space="preserve">execution::automated::unit::and::integration::tests::(junit)</t>
  </si>
  <si>
    <t xml:space="preserve">testing::in::different::VM::(types)::versions</t>
  </si>
  <si>
    <t xml:space="preserve">execution::automated::unit::and::integration::tests::(microsoft::vmware::ibm)</t>
  </si>
  <si>
    <t xml:space="preserve">usage::automated::dependency::resolution::conflicts</t>
  </si>
  <si>
    <t xml:space="preserve">execution::automated::unit::and::integration::tests::(nova::tox::functional)</t>
  </si>
  <si>
    <t xml:space="preserve">usage::automated::dependency::resolution::conflicts::(shaded::dependencies)</t>
  </si>
  <si>
    <t xml:space="preserve">execution::automated::unit::and::integration::tests::(tempest)</t>
  </si>
  <si>
    <t xml:space="preserve">usage::automated::project::build</t>
  </si>
  <si>
    <t xml:space="preserve">execution::automated::unit::and::integration::tests::(testng)</t>
  </si>
  <si>
    <t xml:space="preserve">usage::CI</t>
  </si>
  <si>
    <t xml:space="preserve">usage::of::bug::finding::static::analysis::tools</t>
  </si>
  <si>
    <t xml:space="preserve">usage::of::building:.and::distribution::tools</t>
  </si>
  <si>
    <t xml:space="preserve">usage::of::building:.and::distribution::tools::specific::OS</t>
  </si>
  <si>
    <t xml:space="preserve">usage::of::config::file::(d2to1/pbr)::instead::of::write::config::in::code</t>
  </si>
  <si>
    <t xml:space="preserve">usage::automated::dependency::resolution</t>
  </si>
  <si>
    <t xml:space="preserve">usage::of::config::file::(PBR)::instead::of::write::config::in::code</t>
  </si>
  <si>
    <t xml:space="preserve">usage::automated::dependency::resolution::(gate::nova::requirements)</t>
  </si>
  <si>
    <t xml:space="preserve">usage::of::config::file::instead::of::write::config::in::code</t>
  </si>
  <si>
    <t xml:space="preserve">usage::automated::dependency::resolution::(jarjar)</t>
  </si>
  <si>
    <t xml:space="preserve">usage::of::generic::coding::and::security::conventions::apis</t>
  </si>
  <si>
    <t xml:space="preserve">usage::automated::project::build::(gradle)</t>
  </si>
  <si>
    <t xml:space="preserve">usage::of::generic::coding::conventions::(pep8)</t>
  </si>
  <si>
    <t xml:space="preserve">usage::automated::project::build::(maven)</t>
  </si>
  <si>
    <t xml:space="preserve">usage::of::own::style::checking::static::analysis::rules</t>
  </si>
  <si>
    <t xml:space="preserve">usage::of::own::style::ignoring::code::coverage</t>
  </si>
  <si>
    <t xml:space="preserve">usage::of::pre-commit::hooks</t>
  </si>
  <si>
    <t xml:space="preserve">usage::of::simple::config::file::(cfg)::and::config::in::code:.(mainly)</t>
  </si>
  <si>
    <t xml:space="preserve">usage::of::style::checking::static::analysis::tools</t>
  </si>
  <si>
    <t xml:space="preserve">usage::of::testing::conventions::and::practices</t>
  </si>
  <si>
    <t xml:space="preserve">usage::of::virtual::environments</t>
  </si>
  <si>
    <t xml:space="preserve">usage::of::workflow::testing::tools</t>
  </si>
  <si>
    <t xml:space="preserve">use::wrapper::to::avoid::SO::platform::dependencies::when::building</t>
  </si>
  <si>
    <t xml:space="preserve">usage::of::style::checking::static::analysis::tools::(pylint)</t>
  </si>
  <si>
    <t xml:space="preserve">usage::of::dedicated::config::file</t>
  </si>
  <si>
    <t xml:space="preserve">usage::of::generic::coding::conventions</t>
  </si>
  <si>
    <t xml:space="preserve">execution::automated::best::practice::enforcement</t>
  </si>
  <si>
    <t xml:space="preserve">execution::automated::test::setup</t>
  </si>
  <si>
    <t xml:space="preserve">execution::automated::cleanup</t>
  </si>
  <si>
    <t xml:space="preserve">accepting::clarification</t>
  </si>
  <si>
    <t xml:space="preserve">agreeing::change::(architecture::tests)</t>
  </si>
  <si>
    <t xml:space="preserve">accepting::clarification::about::documentation</t>
  </si>
  <si>
    <t xml:space="preserve">agreeing::change::(input::parameter)</t>
  </si>
  <si>
    <t xml:space="preserve">accepting::suggestion::change::(exception::type)</t>
  </si>
  <si>
    <t xml:space="preserve">agreeing::commenting::about::the::imposssibility::of::using::something::(decorators)</t>
  </si>
  <si>
    <t xml:space="preserve">accepting::suggestion::change::(logic)</t>
  </si>
  <si>
    <t xml:space="preserve">agreeing::conflicts::with::existing::dependency::(another::project)::of::the::change::(egg::and::chicken)</t>
  </si>
  <si>
    <t xml:space="preserve">accepting::suggestion::creating::followup::issue</t>
  </si>
  <si>
    <t xml:space="preserve">agreeing::current::approach</t>
  </si>
  <si>
    <t xml:space="preserve">accepting::suggestion::refactoring::(style)</t>
  </si>
  <si>
    <t xml:space="preserve">agreeing::suggestion::change::(backwards::compatebility)</t>
  </si>
  <si>
    <t xml:space="preserve">accepting::suggestion::refactoring::(unnecesary::loop)</t>
  </si>
  <si>
    <t xml:space="preserve">agreeing::suggestion::change::(input::parameter)</t>
  </si>
  <si>
    <t xml:space="preserve">agreeing::suggestion::change::(logging::message::clearness)</t>
  </si>
  <si>
    <t xml:space="preserve">agreeing::suggestion::refactoring::(comparison::operators)</t>
  </si>
  <si>
    <t xml:space="preserve">agreeing::suggestion::refactoring::code::(different::approach::change::config::file)</t>
  </si>
  <si>
    <t xml:space="preserve">agreeing::suggestion::style::change::(commit::message::clearness)</t>
  </si>
  <si>
    <t xml:space="preserve">agreement::objecting::suggestion::change::(logic)</t>
  </si>
  <si>
    <t xml:space="preserve">agreeing::wait::for::submitting::until::new::features::use::the::change</t>
  </si>
  <si>
    <t xml:space="preserve">agreement::objecting::suggestion::refactoring::(out::of::scope)</t>
  </si>
  <si>
    <t xml:space="preserve">agreement::suggestion::change::(add::functionallity)</t>
  </si>
  <si>
    <t xml:space="preserve">agreement::objecting::suggestion::refactoring::(style)</t>
  </si>
  <si>
    <t xml:space="preserve">agreement::suggestion::change::(design)</t>
  </si>
  <si>
    <t xml:space="preserve">agreement::objecting::suggestion::refactoring::(unnecesary::code)</t>
  </si>
  <si>
    <t xml:space="preserve">agreement::suggestion::ignore::backwards::compatebility</t>
  </si>
  <si>
    <t xml:space="preserve">agreement::split::patches</t>
  </si>
  <si>
    <t xml:space="preserve">API::impact::mentioned</t>
  </si>
  <si>
    <t xml:space="preserve">agreement::suggestion::change</t>
  </si>
  <si>
    <t xml:space="preserve">approval::for::submitting::granted</t>
  </si>
  <si>
    <t xml:space="preserve">agreement::suggestion::change::(logging)</t>
  </si>
  <si>
    <t xml:space="preserve">approval::for::submitting::granted2::(core::reviewer)</t>
  </si>
  <si>
    <t xml:space="preserve">agreement::suggestion::change::(logic)</t>
  </si>
  <si>
    <t xml:space="preserve">approval::for::submitting::granted::(core::reviewer)</t>
  </si>
  <si>
    <t xml:space="preserve">agreement::suggestion::change::(types)</t>
  </si>
  <si>
    <t xml:space="preserve">approval::for::submitting::granted::(final)</t>
  </si>
  <si>
    <t xml:space="preserve">agreement::suggestion::content::change::(missing::info::commit::message)</t>
  </si>
  <si>
    <t xml:space="preserve">approval::for::submitting::granted::(final)::(core::reviewer)</t>
  </si>
  <si>
    <t xml:space="preserve">approval::for::submitting::granted::(final)::core::rev</t>
  </si>
  <si>
    <t xml:space="preserve">agreement::suggestion::refactoring::(clearer::code)</t>
  </si>
  <si>
    <t xml:space="preserve">approval::for::submitting::granted::(final::workflow::vote)</t>
  </si>
  <si>
    <t xml:space="preserve">agreement::suggestion::refactoring::(consistency)</t>
  </si>
  <si>
    <t xml:space="preserve">approval::for::submitting::granted::(final::workflow::vote)::(core::reviewer)</t>
  </si>
  <si>
    <t xml:space="preserve">anticipating::merge::soon</t>
  </si>
  <si>
    <t xml:space="preserve">approval::for::submitting::granted::(workflow::vote)::(core::reviewer)</t>
  </si>
  <si>
    <t xml:space="preserve">approval::for::submitting::granted::(workflow::vote2)::(core::reviewer)</t>
  </si>
  <si>
    <t xml:space="preserve">approval::for::submitting::granted::(workflow::vote3)::(core::reviewer)</t>
  </si>
  <si>
    <t xml:space="preserve">approval::for::submitting::granted::(final)1</t>
  </si>
  <si>
    <t xml:space="preserve">approval::for::submitting::granted::core::rev</t>
  </si>
  <si>
    <t xml:space="preserve">approval::for::submitting::granted::(final)::(vote1)</t>
  </si>
  <si>
    <t xml:space="preserve">approval::for::submitting::granted::for::the::BP</t>
  </si>
  <si>
    <t xml:space="preserve">approval::for::submitting::granted::(final)::(vote13)</t>
  </si>
  <si>
    <t xml:space="preserve">approval::of::the::BP/spec::associated::to::the::change::before::merging</t>
  </si>
  <si>
    <t xml:space="preserve">approval::for::submitting::granted::(final)::(vote9)</t>
  </si>
  <si>
    <t xml:space="preserve">approval::of::the::BP/spec::associated::to::the::change::before::working::on::code</t>
  </si>
  <si>
    <t xml:space="preserve">asking:.clarification::about::the::reason::error::unit::test</t>
  </si>
  <si>
    <t xml:space="preserve">approval::for::submitting::granted::(final)::core::rev1</t>
  </si>
  <si>
    <t xml:space="preserve">asking::advice::about::changes::(verify::correctness)</t>
  </si>
  <si>
    <t xml:space="preserve">approval::for::submitting::granted::(final)::core::rev2</t>
  </si>
  <si>
    <t xml:space="preserve">asking::advice::about::code::and::documentation::(functionallity)</t>
  </si>
  <si>
    <t xml:space="preserve">approval::for::submitting::granted::(final)::core::rev6</t>
  </si>
  <si>
    <t xml:space="preserve">asking::advice::about::suggestion::change::current::approach::(change::for::different::api::version)</t>
  </si>
  <si>
    <t xml:space="preserve">approval::for::submitting::granted::(final)::core::rev::(vote1)</t>
  </si>
  <si>
    <t xml:space="preserve">asking::advice::how::to::fix::(alternative::solution)</t>
  </si>
  <si>
    <t xml:space="preserve">approval::for::submitting::granted::(final)::core::rev::(vote12)</t>
  </si>
  <si>
    <t xml:space="preserve">asking::advice::how::to::fix::failures::(building::tests)</t>
  </si>
  <si>
    <t xml:space="preserve">approval::for::submitting::granted::(final)::core::rev::(vote2)</t>
  </si>
  <si>
    <t xml:space="preserve">asking::advice::suggestion::refactoring::(cleaner::code)</t>
  </si>
  <si>
    <t xml:space="preserve">approval::for::submitting::granted::(final)::core::rev::(vote3)</t>
  </si>
  <si>
    <t xml:space="preserve">asking::advice::suggestion::refactoring::(removing::not::thread::safe::code)</t>
  </si>
  <si>
    <t xml:space="preserve">approval::for::submitting::granted::(final)::core::rev::(vote4)</t>
  </si>
  <si>
    <t xml:space="preserve">asking::clarification:.about::assert::usage</t>
  </si>
  <si>
    <t xml:space="preserve">approval::for::submitting::granted::(final)::core::rev::(vote7)</t>
  </si>
  <si>
    <t xml:space="preserve">asking::clarification::(location::of::code)</t>
  </si>
  <si>
    <t xml:space="preserve">approval::for::submitting::granted::(final)::core::rev::(vote8)</t>
  </si>
  <si>
    <t xml:space="preserve">asking::clarification::(need::of::conditional)</t>
  </si>
  <si>
    <t xml:space="preserve">approval::for::submitting::granted::(final)::core::rev::(vote9)</t>
  </si>
  <si>
    <t xml:space="preserve">asking::clarification::(need::of::method::calling)</t>
  </si>
  <si>
    <t xml:space="preserve">approval::for::submitting::granted::(non::final)1</t>
  </si>
  <si>
    <t xml:space="preserve">asking::clarification::(need::of::new::BP)</t>
  </si>
  <si>
    <t xml:space="preserve">approval::for::submitting::granted::(non::final)10</t>
  </si>
  <si>
    <t xml:space="preserve">asking::clarification::(need::of::new::PR)</t>
  </si>
  <si>
    <t xml:space="preserve">approval::for::submitting::granted::(non::final)11</t>
  </si>
  <si>
    <t xml:space="preserve">asking::clarification::(need::to::move::logic)</t>
  </si>
  <si>
    <t xml:space="preserve">approval::for::submitting::granted::(non::final)12</t>
  </si>
  <si>
    <t xml:space="preserve">asking::clarification::(need::to::remove::code)</t>
  </si>
  <si>
    <t xml:space="preserve">approval::for::submitting::granted::(non::final)13</t>
  </si>
  <si>
    <t xml:space="preserve">asking::clarification::(renaming::signature)</t>
  </si>
  <si>
    <t xml:space="preserve">approval::for::submitting::granted::(non::final)14</t>
  </si>
  <si>
    <t xml:space="preserve">asking::clarification::(update::executable::files)</t>
  </si>
  <si>
    <t xml:space="preserve">approval::for::submitting::granted::(non::final)15</t>
  </si>
  <si>
    <t xml:space="preserve">asking::clarification::(where::is::the::BP::implemented)</t>
  </si>
  <si>
    <t xml:space="preserve">approval::for::submitting::granted::(non::final)16</t>
  </si>
  <si>
    <t xml:space="preserve">asking::clarification::about::bug::(changes)</t>
  </si>
  <si>
    <t xml:space="preserve">approval::for::submitting::granted::(non::final)17</t>
  </si>
  <si>
    <t xml:space="preserve">asking::clarification::about::bug::(status)</t>
  </si>
  <si>
    <t xml:space="preserve">approval::for::submitting::granted::(non::final)18</t>
  </si>
  <si>
    <t xml:space="preserve">asking::clarification::about::change::(documentation)</t>
  </si>
  <si>
    <t xml:space="preserve">approval::for::submitting::granted::(non::final)19</t>
  </si>
  <si>
    <t xml:space="preserve">asking::clarification::about::code</t>
  </si>
  <si>
    <t xml:space="preserve">approval::for::submitting::granted::(non::final)2</t>
  </si>
  <si>
    <t xml:space="preserve">asking::clarification::about::code::(a::different::approach::than::existing::one)</t>
  </si>
  <si>
    <t xml:space="preserve">approval::for::submitting::granted::(non::final)20</t>
  </si>
  <si>
    <t xml:space="preserve">asking::clarification::about::code::(avoid::shutdown)</t>
  </si>
  <si>
    <t xml:space="preserve">approval::for::submitting::granted::(non::final)21</t>
  </si>
  <si>
    <t xml:space="preserve">asking::clarification::about::code::(conditional::with::break)</t>
  </si>
  <si>
    <t xml:space="preserve">approval::for::submitting::granted::(non::final)22</t>
  </si>
  <si>
    <t xml:space="preserve">asking::clarification::about::code::(default::value)</t>
  </si>
  <si>
    <t xml:space="preserve">approval::for::submitting::granted::(non::final)23</t>
  </si>
  <si>
    <t xml:space="preserve">asking::clarification::about::code::(design)</t>
  </si>
  <si>
    <t xml:space="preserve">approval::for::submitting::granted::(non::final)24</t>
  </si>
  <si>
    <t xml:space="preserve">asking::clarification::about::code::(design::access::modifiers)</t>
  </si>
  <si>
    <t xml:space="preserve">approval::for::submitting::granted::(non::final)25</t>
  </si>
  <si>
    <t xml:space="preserve">asking::clarification::about::code::(error::handling)</t>
  </si>
  <si>
    <t xml:space="preserve">approval::for::submitting::granted::(non::final)26</t>
  </si>
  <si>
    <t xml:space="preserve">asking::clarification::about::code::(functionallity)</t>
  </si>
  <si>
    <t xml:space="preserve">approval::for::submitting::granted::(non::final)27</t>
  </si>
  <si>
    <t xml:space="preserve">asking::clarification::about::code::(functionallity::exception::works)</t>
  </si>
  <si>
    <t xml:space="preserve">approval::for::submitting::granted::(non::final)28</t>
  </si>
  <si>
    <t xml:space="preserve">asking::clarification::about::code::(functionallity::paths::scope)</t>
  </si>
  <si>
    <t xml:space="preserve">approval::for::submitting::granted::(non::final)29</t>
  </si>
  <si>
    <t xml:space="preserve">asking::clarification::about::code::(functionallity::works)</t>
  </si>
  <si>
    <t xml:space="preserve">approval::for::submitting::granted::(non::final)3</t>
  </si>
  <si>
    <t xml:space="preserve">asking::clarification::about::code::(how::to::test::it)</t>
  </si>
  <si>
    <t xml:space="preserve">approval::for::submitting::granted::(non::final)30</t>
  </si>
  <si>
    <t xml:space="preserve">asking::clarification::about::code::(if:.test::covers::case)</t>
  </si>
  <si>
    <t xml:space="preserve">approval::for::submitting::granted::(non::final)31</t>
  </si>
  <si>
    <t xml:space="preserve">asking::clarification::about::code::(input::parameter)</t>
  </si>
  <si>
    <t xml:space="preserve">approval::for::submitting::granted::(non::final)32</t>
  </si>
  <si>
    <t xml:space="preserve">asking::clarification::about::code::(log::need)</t>
  </si>
  <si>
    <t xml:space="preserve">approval::for::submitting::granted::(non::final)33</t>
  </si>
  <si>
    <t xml:space="preserve">asking::clarification::about::code::(logic)</t>
  </si>
  <si>
    <t xml:space="preserve">approval::for::submitting::granted::(non::final)34</t>
  </si>
  <si>
    <t xml:space="preserve">asking::clarification::about::code::(missing::context)</t>
  </si>
  <si>
    <t xml:space="preserve">approval::for::submitting::granted::(non::final)35</t>
  </si>
  <si>
    <t xml:space="preserve">asking::clarification::about::code::(missing::tests)</t>
  </si>
  <si>
    <t xml:space="preserve">approval::for::submitting::granted::(non::final)36</t>
  </si>
  <si>
    <t xml:space="preserve">asking::clarification::about::code::(need::of::code)</t>
  </si>
  <si>
    <t xml:space="preserve">approval::for::submitting::granted::(non::final)4</t>
  </si>
  <si>
    <t xml:space="preserve">asking::clarification::about::code::(need::of::config::parameters)</t>
  </si>
  <si>
    <t xml:space="preserve">approval::for::submitting::granted::(non::final)5</t>
  </si>
  <si>
    <t xml:space="preserve">asking::clarification::about::code::(need::of::tests)</t>
  </si>
  <si>
    <t xml:space="preserve">approval::for::submitting::granted::(non::final)6</t>
  </si>
  <si>
    <t xml:space="preserve">asking::clarification::about::code::(need:functionallity)</t>
  </si>
  <si>
    <t xml:space="preserve">approval::for::submitting::granted::(non::final)7</t>
  </si>
  <si>
    <t xml:space="preserve">asking::clarification::about::code::(previous::version)</t>
  </si>
  <si>
    <t xml:space="preserve">approval::for::submitting::granted::(non::final)8</t>
  </si>
  <si>
    <t xml:space="preserve">asking::clarification::about::code::(previous::version::vs::actual::code)</t>
  </si>
  <si>
    <t xml:space="preserve">approval::for::submitting::granted::(non::final)9</t>
  </si>
  <si>
    <t xml:space="preserve">asking::clarification::about::code::(reason::of::changing::code)</t>
  </si>
  <si>
    <t xml:space="preserve">approval::for::submitting::granted::(non::final)::(vote1)</t>
  </si>
  <si>
    <t xml:space="preserve">asking::clarification::about::code::(reason::of::the:.code)</t>
  </si>
  <si>
    <t xml:space="preserve">approval::for::submitting::granted::(non::final)::(vote10)</t>
  </si>
  <si>
    <t xml:space="preserve">asking::clarification::about::code::(reason::of::the::design)</t>
  </si>
  <si>
    <t xml:space="preserve">approval::for::submitting::granted::(non::final)::(vote11)</t>
  </si>
  <si>
    <t xml:space="preserve">asking::clarification::about::code::(test::possible::change)</t>
  </si>
  <si>
    <t xml:space="preserve">approval::for::submitting::granted::(non::final)::(vote2)</t>
  </si>
  <si>
    <t xml:space="preserve">asking::clarification::about::code::(tests::result::specific::case)</t>
  </si>
  <si>
    <t xml:space="preserve">approval::for::submitting::granted::(non::final)::(vote3)</t>
  </si>
  <si>
    <t xml:space="preserve">asking::clarification::about::code::(types)</t>
  </si>
  <si>
    <t xml:space="preserve">approval::for::submitting::granted::(non::final)::(vote4)</t>
  </si>
  <si>
    <t xml:space="preserve">asking::clarification::about::code::(unnecesary::loop)</t>
  </si>
  <si>
    <t xml:space="preserve">approval::for::submitting::granted::(non::final)::(vote5)</t>
  </si>
  <si>
    <t xml:space="preserve">asking::clarification::about::code::(unnecesary::method::calling)</t>
  </si>
  <si>
    <t xml:space="preserve">approval::for::submitting::granted::(non::final)::(vote6)</t>
  </si>
  <si>
    <t xml:space="preserve">asking::clarification::about::code::(unnecesary::parentheses)</t>
  </si>
  <si>
    <t xml:space="preserve">approval::for::submitting::granted::(non::final)::(vote7)</t>
  </si>
  <si>
    <t xml:space="preserve">asking::clarification::about::config::(fixed::values)</t>
  </si>
  <si>
    <t xml:space="preserve">approval::for::submitting::granted::(non::final)::(vote8)</t>
  </si>
  <si>
    <t xml:space="preserve">asking::clarification::about::dependencies</t>
  </si>
  <si>
    <t xml:space="preserve">approval::for::submitting::granted::(non::final)::core::rev1</t>
  </si>
  <si>
    <t xml:space="preserve">asking::clarification::about::project::(version)</t>
  </si>
  <si>
    <t xml:space="preserve">approval::for::submitting::granted::(non::final)::core::rev10</t>
  </si>
  <si>
    <t xml:space="preserve">asking::clarification::about::question</t>
  </si>
  <si>
    <t xml:space="preserve">approval::for::submitting::granted::(non::final)::core::rev11</t>
  </si>
  <si>
    <t xml:space="preserve">asking::clarification::about::suggestion</t>
  </si>
  <si>
    <t xml:space="preserve">approval::for::submitting::granted::(non::final)::core::rev2</t>
  </si>
  <si>
    <t xml:space="preserve">asking::clarification::change::(change::method)</t>
  </si>
  <si>
    <t xml:space="preserve">approval::for::submitting::granted::(non::final)::core::rev3</t>
  </si>
  <si>
    <t xml:space="preserve">asking::clarification::content::(commit::message)</t>
  </si>
  <si>
    <t xml:space="preserve">approval::for::submitting::granted::(non::final)::core::rev4</t>
  </si>
  <si>
    <t xml:space="preserve">asking::clarification::developing::process::(added::wrong::commit::to::PR)</t>
  </si>
  <si>
    <t xml:space="preserve">approval::for::submitting::granted::(non::final)::core::rev5</t>
  </si>
  <si>
    <t xml:space="preserve">asking::clarification::developing::process::(code::and::managment::of::patches)</t>
  </si>
  <si>
    <t xml:space="preserve">approval::for::submitting::granted::(non::final)::core::rev6</t>
  </si>
  <si>
    <t xml:space="preserve">asking::clarification::developing::process::(need::to::file::BP)</t>
  </si>
  <si>
    <t xml:space="preserve">approval::for::submitting::granted::(non::final)::core::rev7</t>
  </si>
  <si>
    <t xml:space="preserve">asking::clarification::developing::process::(voting::approved::or::not)</t>
  </si>
  <si>
    <t xml:space="preserve">approval::for::submitting::granted::(non::final)::core::rev8</t>
  </si>
  <si>
    <t xml:space="preserve">asking::clarification::intended::solution::design</t>
  </si>
  <si>
    <t xml:space="preserve">approval::for::submitting::granted::(non::final)::core::rev9</t>
  </si>
  <si>
    <t xml:space="preserve">asking::clarification::log::(content::logging::misleading)</t>
  </si>
  <si>
    <t xml:space="preserve">approval::for::submitting::granted::(non::final)::core::rev::(vote1)</t>
  </si>
  <si>
    <t xml:space="preserve">asking::clarification::missing::content::(commit::message)</t>
  </si>
  <si>
    <t xml:space="preserve">approval::for::submitting::granted::(non::final)::core::rev::(vote10)</t>
  </si>
  <si>
    <t xml:space="preserve">asking::clarification::process::of::merging::changes</t>
  </si>
  <si>
    <t xml:space="preserve">approval::for::submitting::granted::(non::final)::core::rev::(vote12)</t>
  </si>
  <si>
    <t xml:space="preserve">asking::clarification::suggestion::refactoring::(move::logic)</t>
  </si>
  <si>
    <t xml:space="preserve">approval::for::submitting::granted::(non::final)::core::rev::(vote2)</t>
  </si>
  <si>
    <t xml:space="preserve">asking::clarification::suggestion::refactoring::(use::method/function)</t>
  </si>
  <si>
    <t xml:space="preserve">approval::for::submitting::granted::(non::final)::core::rev::(vote3)</t>
  </si>
  <si>
    <t xml:space="preserve">asking::confirmation::of::intended::solution</t>
  </si>
  <si>
    <t xml:space="preserve">approval::for::submitting::granted::(non::final)::core::rev::(vote4)</t>
  </si>
  <si>
    <t xml:space="preserve">asking::development::status</t>
  </si>
  <si>
    <t xml:space="preserve">approval::for::submitting::granted::(non::final)::core::rev::(vote5)</t>
  </si>
  <si>
    <t xml:space="preserve">asking::for::assistance</t>
  </si>
  <si>
    <t xml:space="preserve">approval::for::submitting::granted::(non::final)::core::rev::(vote6)</t>
  </si>
  <si>
    <t xml:space="preserve">asking::for::assistance::(more::tests)</t>
  </si>
  <si>
    <t xml:space="preserve">approval::for::submitting::granted::(non::final)::core::rev::(vote7)</t>
  </si>
  <si>
    <t xml:space="preserve">asking::for::clarification::about::previous::question</t>
  </si>
  <si>
    <t xml:space="preserve">approval::for::submitting::granted::(non::final)::core::rev::(vote8)</t>
  </si>
  <si>
    <t xml:space="preserve">asking::opinions::about::current::approach</t>
  </si>
  <si>
    <t xml:space="preserve">approval::for::submitting::granted::(non::final)::core::rev::(vote9)</t>
  </si>
  <si>
    <t xml:space="preserve">BP::needs::approval</t>
  </si>
  <si>
    <t xml:space="preserve">bugs::hit</t>
  </si>
  <si>
    <t xml:space="preserve">approval::for::workflow1</t>
  </si>
  <si>
    <t xml:space="preserve">challenges::to::rebase::other::patches</t>
  </si>
  <si>
    <t xml:space="preserve">approval::for::workflow::(final)::(vote1)</t>
  </si>
  <si>
    <t xml:space="preserve">change::ID</t>
  </si>
  <si>
    <t xml:space="preserve">approval::for::workflow::(final)::(vote2)</t>
  </si>
  <si>
    <t xml:space="preserve">changes::reverted</t>
  </si>
  <si>
    <t xml:space="preserve">approval::for::workflow::(final)::(vote3)</t>
  </si>
  <si>
    <t xml:space="preserve">commenting::about::the::imposssibility::of::using::something::(decorators)</t>
  </si>
  <si>
    <t xml:space="preserve">approval::for::workflow::(non::final)::(vote1)</t>
  </si>
  <si>
    <t xml:space="preserve">comments::addressed</t>
  </si>
  <si>
    <t xml:space="preserve">approval::for::workflow::(non::final)::(vote2)</t>
  </si>
  <si>
    <t xml:space="preserve">comments::will::be::addressed::(soon)</t>
  </si>
  <si>
    <t xml:space="preserve">approval::for::workflow::(non::final)::(vote3)</t>
  </si>
  <si>
    <t xml:space="preserve">complaining::of::the::developing::process::(modifying::unnecessary::files)</t>
  </si>
  <si>
    <t xml:space="preserve">approval::for::workflow::(non::final)::(vote4)</t>
  </si>
  <si>
    <t xml:space="preserve">complaining::of::the::developing::process::(speed::reviews)</t>
  </si>
  <si>
    <t xml:space="preserve">approval::for::workflow::(non::final)::(vote5)</t>
  </si>
  <si>
    <t xml:space="preserve">complaining::of::the::developing::process::(tests)</t>
  </si>
  <si>
    <t xml:space="preserve">asking::about::waiting::for::patch::(other::review)</t>
  </si>
  <si>
    <t xml:space="preserve">compliment::to::the::author::(solution::design)</t>
  </si>
  <si>
    <t xml:space="preserve">asking::advice::about::error</t>
  </si>
  <si>
    <t xml:space="preserve">conditioning::a::rebase::(only::if::negative::scores::are::removed)</t>
  </si>
  <si>
    <t xml:space="preserve">asking::advice::best::practice::(logic)</t>
  </si>
  <si>
    <t xml:space="preserve">conditioning::a::refactoring::(only::if::further::changes::are::needed)</t>
  </si>
  <si>
    <t xml:space="preserve">asking::advice::best::practice::(style)</t>
  </si>
  <si>
    <t xml:space="preserve">asking::advice::best::practice::(versioning)</t>
  </si>
  <si>
    <t xml:space="preserve">discussing::about::another::patches::(dependencies)</t>
  </si>
  <si>
    <t xml:space="preserve">asking::advice::suggestion::change::(solution::design)</t>
  </si>
  <si>
    <t xml:space="preserve">discussing::about::another::patches::(dependencies::status)</t>
  </si>
  <si>
    <t xml:space="preserve">discussing::about::another::patches::another::project::(dependencies::status)</t>
  </si>
  <si>
    <t xml:space="preserve">asking::advice::suggestion::refactoring::(naming::function)</t>
  </si>
  <si>
    <t xml:space="preserve">discussing::about::change</t>
  </si>
  <si>
    <t xml:space="preserve">discussing::about::change::(backwards::compatibility)</t>
  </si>
  <si>
    <t xml:space="preserve">asking::clarification::(need::of::constant)</t>
  </si>
  <si>
    <t xml:space="preserve">discussing::about::code::(no::need::of::code)</t>
  </si>
  <si>
    <t xml:space="preserve">discussing::about::intended::solution::design</t>
  </si>
  <si>
    <t xml:space="preserve">discussing::about::reverting::changes</t>
  </si>
  <si>
    <t xml:space="preserve">asking::clarification::about::change</t>
  </si>
  <si>
    <t xml:space="preserve">discussing::about::the::change::approach::discussed::previously::(email)</t>
  </si>
  <si>
    <t xml:space="preserve">asking::clarification::about::change::(logic)</t>
  </si>
  <si>
    <t xml:space="preserve">discussing::suggestion::refactoring::(change::input::parameter)</t>
  </si>
  <si>
    <t xml:space="preserve">discussing::suggestion::refactoring::(change::type::function)</t>
  </si>
  <si>
    <t xml:space="preserve">doc::impact::mentioned</t>
  </si>
  <si>
    <t xml:space="preserve">done::/::will::do</t>
  </si>
  <si>
    <t xml:space="preserve">FFE::(feature::freeze::exception)::approved</t>
  </si>
  <si>
    <t xml:space="preserve">FFE::(feature::freeze::exception)::missed::deadline</t>
  </si>
  <si>
    <t xml:space="preserve">FFE::(feature::freeze::exception)::request</t>
  </si>
  <si>
    <t xml:space="preserve">asking::clarification::about::code::(logging)</t>
  </si>
  <si>
    <t xml:space="preserve">FFE::(feature::freeze::exception)::sponsorship</t>
  </si>
  <si>
    <t xml:space="preserve">highlights::missunderstanding</t>
  </si>
  <si>
    <t xml:space="preserve">asking::clarification::about::code::(migration)</t>
  </si>
  <si>
    <t xml:space="preserve">ignoring::noticing::code::duplication</t>
  </si>
  <si>
    <t xml:space="preserve">informing:.conflict:.(another::review)</t>
  </si>
  <si>
    <t xml:space="preserve">asking::clarification::about::code::(naming)</t>
  </si>
  <si>
    <t xml:space="preserve">informing:.that::a::change::made::was::already::done</t>
  </si>
  <si>
    <t xml:space="preserve">informing::added::new::PR</t>
  </si>
  <si>
    <t xml:space="preserve">informing::adding::label</t>
  </si>
  <si>
    <t xml:space="preserve">asking::clarification::about::code::(performance)</t>
  </si>
  <si>
    <t xml:space="preserve">informing::backwards::compatebility::broken</t>
  </si>
  <si>
    <t xml:space="preserve">asking::clarification::about::code::(solution::design)</t>
  </si>
  <si>
    <t xml:space="preserve">informing::blocking::change::(vote::codereview-2)::(core::reviewer)</t>
  </si>
  <si>
    <t xml:space="preserve">informing::BP::approved</t>
  </si>
  <si>
    <t xml:space="preserve">asking::clarification::about::config</t>
  </si>
  <si>
    <t xml:space="preserve">informing::BP::status</t>
  </si>
  <si>
    <t xml:space="preserve">informing::broken::functionallity::after::submitting::changes</t>
  </si>
  <si>
    <t xml:space="preserve">informing::bug::found</t>
  </si>
  <si>
    <t xml:space="preserve">asking::clarification::about::dependency</t>
  </si>
  <si>
    <t xml:space="preserve">informing::change::commit</t>
  </si>
  <si>
    <t xml:space="preserve">asking::clarification::about::dependency::(api::version)</t>
  </si>
  <si>
    <t xml:space="preserve">informing::change::implemented</t>
  </si>
  <si>
    <t xml:space="preserve">asking::clarification::about::documentation</t>
  </si>
  <si>
    <t xml:space="preserve">informing::change::implemented::(no::inline::message)</t>
  </si>
  <si>
    <t xml:space="preserve">informing::changes::commit::message</t>
  </si>
  <si>
    <t xml:space="preserve">informing::code::pushed</t>
  </si>
  <si>
    <t xml:space="preserve">asking::clarification::about::suggestion::(logging)</t>
  </si>
  <si>
    <t xml:space="preserve">informing::comment::given::outside::PR</t>
  </si>
  <si>
    <t xml:space="preserve">asking::clarification::about::suggestion::(logic)</t>
  </si>
  <si>
    <t xml:space="preserve">informing::comments::added</t>
  </si>
  <si>
    <t xml:space="preserve">informing::comments::not::fully::addressed</t>
  </si>
  <si>
    <t xml:space="preserve">informing::comments::not::fully::addressed::(reasons)</t>
  </si>
  <si>
    <t xml:space="preserve">informing::conflicts::with::existing::dependency::(another::project)::of::the::change::(egg::and::chicken)</t>
  </si>
  <si>
    <t xml:space="preserve">asking::clarification::intended::test::design</t>
  </si>
  <si>
    <t xml:space="preserve">informing::developing::status::(of::patches)</t>
  </si>
  <si>
    <t xml:space="preserve">asking::clarification::suggestion::refactoring::(accessibility::modifiers)</t>
  </si>
  <si>
    <t xml:space="preserve">informing::developing::status::(of::suggested::changes)</t>
  </si>
  <si>
    <t xml:space="preserve">informing::error::in::CI::system</t>
  </si>
  <si>
    <t xml:space="preserve">asking::clarification::suggestion::refactoring::(style::add:newline)</t>
  </si>
  <si>
    <t xml:space="preserve">informing::error::in::code</t>
  </si>
  <si>
    <t xml:space="preserve">informing::error::unit::test</t>
  </si>
  <si>
    <t xml:space="preserve">informing::error::unit::test::(where:.and::when)</t>
  </si>
  <si>
    <t xml:space="preserve">informing::existing::dependencies::(commit::message)</t>
  </si>
  <si>
    <t xml:space="preserve">asking::for::assistance::(unrelated)</t>
  </si>
  <si>
    <t xml:space="preserve">informing::existing::dependency::(another::project)::of::the::change</t>
  </si>
  <si>
    <t xml:space="preserve">asking::for::feedback</t>
  </si>
  <si>
    <t xml:space="preserve">informing::existing::dependency::(another::project)::of::the::change::are::ready</t>
  </si>
  <si>
    <t xml:space="preserve">informing::existing::dependency::(another::review)::of::the::change</t>
  </si>
  <si>
    <t xml:space="preserve">bug::fixed</t>
  </si>
  <si>
    <t xml:space="preserve">informing::FFE::(feature::freeze::exception)::lifted</t>
  </si>
  <si>
    <t xml:space="preserve">informing::inconsistencies::found:.(format)</t>
  </si>
  <si>
    <t xml:space="preserve">cc::other::discssants</t>
  </si>
  <si>
    <t xml:space="preserve">informing::integration::testing::(results)</t>
  </si>
  <si>
    <t xml:space="preserve">changes::required::for::submitting</t>
  </si>
  <si>
    <t xml:space="preserve">informing::integration::testing::(to::be::executed)</t>
  </si>
  <si>
    <t xml:space="preserve">changes::required::for::submitting::(comments::added)</t>
  </si>
  <si>
    <t xml:space="preserve">informing::left::comments</t>
  </si>
  <si>
    <t xml:space="preserve">informing::left::inline::comments</t>
  </si>
  <si>
    <t xml:space="preserve">informing::lgtm</t>
  </si>
  <si>
    <t xml:space="preserve">compliment::to::the::author</t>
  </si>
  <si>
    <t xml:space="preserve">informing::lost::in::squash</t>
  </si>
  <si>
    <t xml:space="preserve">compliment::to::the::author::(test::design)</t>
  </si>
  <si>
    <t xml:space="preserve">informing::lost::progress::(code::gone)</t>
  </si>
  <si>
    <t xml:space="preserve">compliment::to::the::author::(use::method/function)</t>
  </si>
  <si>
    <t xml:space="preserve">informing::migration::clash</t>
  </si>
  <si>
    <t xml:space="preserve">informing::multiple:.times::that::there::are::no::bugs::after::build::failures</t>
  </si>
  <si>
    <t xml:space="preserve">confirming::bug::fixed</t>
  </si>
  <si>
    <t xml:space="preserve">informing::passed::error::unit::test</t>
  </si>
  <si>
    <t xml:space="preserve">confirming::possbile::bug</t>
  </si>
  <si>
    <t xml:space="preserve">informing::possible::bug</t>
  </si>
  <si>
    <t xml:space="preserve">content::of::each::patchset</t>
  </si>
  <si>
    <t xml:space="preserve">informing::reason::error::unit::test</t>
  </si>
  <si>
    <t xml:space="preserve">correcting::own::suggestion</t>
  </si>
  <si>
    <t xml:space="preserve">informing::reason::failure</t>
  </si>
  <si>
    <t xml:space="preserve">informing::reason::failure::(context:.related::(where::it::runs)::)</t>
  </si>
  <si>
    <t xml:space="preserve">informing::rebase</t>
  </si>
  <si>
    <t xml:space="preserve">informing::rebase2</t>
  </si>
  <si>
    <t xml:space="preserve">informing::rebase3</t>
  </si>
  <si>
    <t xml:space="preserve">discussing::about::change::(blueprint::bp::needed)</t>
  </si>
  <si>
    <t xml:space="preserve">informing::rebase4</t>
  </si>
  <si>
    <t xml:space="preserve">discussing::about::change::(issue::with::change)</t>
  </si>
  <si>
    <t xml:space="preserve">informing::recheck</t>
  </si>
  <si>
    <t xml:space="preserve">discussing::about::code::(performance)</t>
  </si>
  <si>
    <t xml:space="preserve">informing::recheck::(experimental)</t>
  </si>
  <si>
    <t xml:space="preserve">discussing::about::intended::solution::design::(without::prev::commits)</t>
  </si>
  <si>
    <t xml:space="preserve">informing::recheck::(migrations)</t>
  </si>
  <si>
    <t xml:space="preserve">discussing::about::intended::test::design</t>
  </si>
  <si>
    <t xml:space="preserve">informing::recheck::(migrations)::after::build::failures</t>
  </si>
  <si>
    <t xml:space="preserve">discussing::about::related::issue</t>
  </si>
  <si>
    <t xml:space="preserve">informing::recheck::(no::bug)</t>
  </si>
  <si>
    <t xml:space="preserve">informing::recheck::(ste)</t>
  </si>
  <si>
    <t xml:space="preserve">discussing::about::security</t>
  </si>
  <si>
    <t xml:space="preserve">informing::recheck::(xenserver)</t>
  </si>
  <si>
    <t xml:space="preserve">discussing::about::solution::design</t>
  </si>
  <si>
    <t xml:space="preserve">informing::recheck::after::build::failures</t>
  </si>
  <si>
    <t xml:space="preserve">discussing::bad::practice</t>
  </si>
  <si>
    <t xml:space="preserve">informing::removing::code::that::was::commented::on</t>
  </si>
  <si>
    <t xml:space="preserve">disputing::request::for::assistance::(unrelated)</t>
  </si>
  <si>
    <t xml:space="preserve">informing::research::error::unit::test</t>
  </si>
  <si>
    <t xml:space="preserve">informing::run::tests::(manual)</t>
  </si>
  <si>
    <t xml:space="preserve">informing::switching::used::editor</t>
  </si>
  <si>
    <t xml:space="preserve">faild::build</t>
  </si>
  <si>
    <t xml:space="preserve">informing::tests::added::(no::inline::message)</t>
  </si>
  <si>
    <t xml:space="preserve">failed::tests</t>
  </si>
  <si>
    <t xml:space="preserve">informing::tests::passing::(different::envs)</t>
  </si>
  <si>
    <t xml:space="preserve">failed::tests::(jenkins)</t>
  </si>
  <si>
    <t xml:space="preserve">informing::tests::results</t>
  </si>
  <si>
    <t xml:space="preserve">failed::tests::(temptest)</t>
  </si>
  <si>
    <t xml:space="preserve">informing::that::questions::about::how::to::use::do::not::belong::PR</t>
  </si>
  <si>
    <t xml:space="preserve">failed::tests::(xenserver)</t>
  </si>
  <si>
    <t xml:space="preserve">informing::that::there::are::no::bugs</t>
  </si>
  <si>
    <t xml:space="preserve">informing::that::there::are::no::bugs::after::build::failures</t>
  </si>
  <si>
    <t xml:space="preserve">goal::of::blueprint::(improvement)</t>
  </si>
  <si>
    <t xml:space="preserve">informing::the::impossibility::(run::tests)</t>
  </si>
  <si>
    <t xml:space="preserve">highlights::importance::(for::specific::modules)</t>
  </si>
  <si>
    <t xml:space="preserve">informing::update</t>
  </si>
  <si>
    <t xml:space="preserve">highlights::importance::(of::solution)</t>
  </si>
  <si>
    <t xml:space="preserve">informing::using::GATE::(testing::platform)::for::pep8::due::to::they::are::not::working</t>
  </si>
  <si>
    <t xml:space="preserve">informing::version::software</t>
  </si>
  <si>
    <t xml:space="preserve">informing::work::in::progress2::(vote::workflow-1)</t>
  </si>
  <si>
    <t xml:space="preserve">informing::work::in::progress3::(vote::workflow-1)</t>
  </si>
  <si>
    <t xml:space="preserve">informing::work::in::progress4::(vote::workflow-1)</t>
  </si>
  <si>
    <t xml:space="preserve">informing::work::in::progress::(vote::workflow-1)</t>
  </si>
  <si>
    <t xml:space="preserve">informing::bad::practice</t>
  </si>
  <si>
    <t xml:space="preserve">introducing::solution::design::(explanation)</t>
  </si>
  <si>
    <t xml:space="preserve">Issues::(BP/bugs)::related::to::the::change</t>
  </si>
  <si>
    <t xml:space="preserve">Issues::(BP/bugs)::that::caused::the::change</t>
  </si>
  <si>
    <t xml:space="preserve">informing::cannot::provide::assistance::(more::tests)</t>
  </si>
  <si>
    <t xml:space="preserve">justifying::no::need::of::new::tests</t>
  </si>
  <si>
    <t xml:space="preserve">justifying::the::approach::of::the::change</t>
  </si>
  <si>
    <t xml:space="preserve">informing::comments::addressed</t>
  </si>
  <si>
    <t xml:space="preserve">links::to::twitter</t>
  </si>
  <si>
    <t xml:space="preserve">informing::dependency::(installed::package)</t>
  </si>
  <si>
    <t xml:space="preserve">mediate::objecting::and::suggestion::change::(move::logic)</t>
  </si>
  <si>
    <t xml:space="preserve">informing::dependency::(requirement)</t>
  </si>
  <si>
    <t xml:space="preserve">mentioning::co::authors</t>
  </si>
  <si>
    <t xml:space="preserve">mentioning::experience::in::project::(new::in::project)</t>
  </si>
  <si>
    <t xml:space="preserve">minor::changes::required::for::submitting</t>
  </si>
  <si>
    <t xml:space="preserve">minor::changes::required::for::submitting::(comments::added)</t>
  </si>
  <si>
    <t xml:space="preserve">need::of::rebase</t>
  </si>
  <si>
    <t xml:space="preserve">informing::existing::dependency::(another::review)</t>
  </si>
  <si>
    <t xml:space="preserve">not::approval::for::submitting</t>
  </si>
  <si>
    <t xml:space="preserve">not::approval::for::submitting10</t>
  </si>
  <si>
    <t xml:space="preserve">informing::frustration::about::waiting::for::next::release</t>
  </si>
  <si>
    <t xml:space="preserve">not::approval::for::submitting11</t>
  </si>
  <si>
    <t xml:space="preserve">informing::issue::approved::(BP)</t>
  </si>
  <si>
    <t xml:space="preserve">not::approval::for::submitting12</t>
  </si>
  <si>
    <t xml:space="preserve">not::approval::for::submitting13</t>
  </si>
  <si>
    <t xml:space="preserve">not::approval::for::submitting14</t>
  </si>
  <si>
    <t xml:space="preserve">not::approval::for::submitting15</t>
  </si>
  <si>
    <t xml:space="preserve">informing::new::PR::with::different::target::branch</t>
  </si>
  <si>
    <t xml:space="preserve">not::approval::for::submitting16</t>
  </si>
  <si>
    <t xml:space="preserve">not::approval::for::submitting17</t>
  </si>
  <si>
    <t xml:space="preserve">informing::preference::(changes::in::own/new::patch)</t>
  </si>
  <si>
    <t xml:space="preserve">not::approval::for::submitting18</t>
  </si>
  <si>
    <t xml:space="preserve">informing::ready::for::review</t>
  </si>
  <si>
    <t xml:space="preserve">not::approval::for::submitting19</t>
  </si>
  <si>
    <t xml:space="preserve">not::approval::for::submitting2</t>
  </si>
  <si>
    <t xml:space="preserve">not::approval::for::submitting20</t>
  </si>
  <si>
    <t xml:space="preserve">not::approval::for::submitting21</t>
  </si>
  <si>
    <t xml:space="preserve">not::approval::for::submitting22</t>
  </si>
  <si>
    <t xml:space="preserve">not::approval::for::submitting23</t>
  </si>
  <si>
    <t xml:space="preserve">not::approval::for::submitting24</t>
  </si>
  <si>
    <t xml:space="preserve">not::approval::for::submitting25</t>
  </si>
  <si>
    <t xml:space="preserve">informing::recheck::(hyper-v)</t>
  </si>
  <si>
    <t xml:space="preserve">not::approval::for::submitting26</t>
  </si>
  <si>
    <t xml:space="preserve">not::approval::for::submitting27</t>
  </si>
  <si>
    <t xml:space="preserve">not::approval::for::submitting3</t>
  </si>
  <si>
    <t xml:space="preserve">informing::recheck::(specific::bug)</t>
  </si>
  <si>
    <t xml:space="preserve">not::approval::for::submitting4</t>
  </si>
  <si>
    <t xml:space="preserve">not::approval::for::submitting5</t>
  </si>
  <si>
    <t xml:space="preserve">not::approval::for::submitting6</t>
  </si>
  <si>
    <t xml:space="preserve">informing::refactoring::(style)</t>
  </si>
  <si>
    <t xml:space="preserve">not::approval::for::submitting7</t>
  </si>
  <si>
    <t xml:space="preserve">not::approval::for::submitting8</t>
  </si>
  <si>
    <t xml:space="preserve">informing::reverify</t>
  </si>
  <si>
    <t xml:space="preserve">not::approval::for::submitting9</t>
  </si>
  <si>
    <t xml:space="preserve">informing::reversing::changes</t>
  </si>
  <si>
    <t xml:space="preserve">not::approval::for::submitting::(as::merge)</t>
  </si>
  <si>
    <t xml:space="preserve">informing::review::expired</t>
  </si>
  <si>
    <t xml:space="preserve">not::approval::for::submitting::(vote)</t>
  </si>
  <si>
    <t xml:space="preserve">informing::run::tests</t>
  </si>
  <si>
    <t xml:space="preserve">not::approval::for::submitting::(vote2)</t>
  </si>
  <si>
    <t xml:space="preserve">not::approval::for::submitting::(vote3)</t>
  </si>
  <si>
    <t xml:space="preserve">informing::run::tests::(passed)</t>
  </si>
  <si>
    <t xml:space="preserve">not::approval::for::submitting::(vote4)</t>
  </si>
  <si>
    <t xml:space="preserve">informing::solution::not::ideal</t>
  </si>
  <si>
    <t xml:space="preserve">not::approval::for::submitting::(vote5)</t>
  </si>
  <si>
    <t xml:space="preserve">informing::tests::added</t>
  </si>
  <si>
    <t xml:space="preserve">not::approval::for::submitting::(vote6)</t>
  </si>
  <si>
    <t xml:space="preserve">not::approval::for::submitting::(vote7)</t>
  </si>
  <si>
    <t xml:space="preserve">informing::tests::failing</t>
  </si>
  <si>
    <t xml:space="preserve">not::approval::for::submitting::(vote8)</t>
  </si>
  <si>
    <t xml:space="preserve">informing::tests::passing</t>
  </si>
  <si>
    <t xml:space="preserve">not::approval::for::submitting::(vote9)</t>
  </si>
  <si>
    <t xml:space="preserve">noticing::code::(deleted::code)</t>
  </si>
  <si>
    <t xml:space="preserve">noticing::code::(race::condition)</t>
  </si>
  <si>
    <t xml:space="preserve">noticing::code::duplication</t>
  </si>
  <si>
    <t xml:space="preserve">noticing::comment::not::addressed::(previous::patch)</t>
  </si>
  <si>
    <t xml:space="preserve">informing::work::in::progress</t>
  </si>
  <si>
    <t xml:space="preserve">noticing::copy::code::practice</t>
  </si>
  <si>
    <t xml:space="preserve">informing::wrong::place::for::discussion</t>
  </si>
  <si>
    <t xml:space="preserve">noticing::overwritting::code</t>
  </si>
  <si>
    <t xml:space="preserve">noticing::style::change::in::code::(tab::space::indent)</t>
  </si>
  <si>
    <t xml:space="preserve">noticing::unnecessary::variable</t>
  </si>
  <si>
    <t xml:space="preserve">noticing::wrong::information(author::commit)</t>
  </si>
  <si>
    <t xml:space="preserve">noticing::wrong::information(co::authors::commit)</t>
  </si>
  <si>
    <t xml:space="preserve">mentions::PR::target</t>
  </si>
  <si>
    <t xml:space="preserve">objecting::change::intended::solution::design</t>
  </si>
  <si>
    <t xml:space="preserve">objecting::clarification::about::code::(reason::of::the::design::tests)</t>
  </si>
  <si>
    <t xml:space="preserve">objecting::clarification::intended::solution::design::(it::is::a::new::BP)</t>
  </si>
  <si>
    <t xml:space="preserve">minor::changes::required::for::submitting::(comments::added::elsewhere)</t>
  </si>
  <si>
    <t xml:space="preserve">objecting::code::(approach::change::config::file)</t>
  </si>
  <si>
    <t xml:space="preserve">need::CI</t>
  </si>
  <si>
    <t xml:space="preserve">objecting::code::(need::of::config::parameters)</t>
  </si>
  <si>
    <t xml:space="preserve">objecting::current::approach::(change::for::api::version)</t>
  </si>
  <si>
    <t xml:space="preserve">no::score</t>
  </si>
  <si>
    <t xml:space="preserve">objecting::informing::conflicts::with::existing::dependency::(another::project)::of::the::change::(egg::and::chicken)</t>
  </si>
  <si>
    <t xml:space="preserve">not::approval::for::submitting1</t>
  </si>
  <si>
    <t xml:space="preserve">objecting::intended::refactoring::(naming)</t>
  </si>
  <si>
    <t xml:space="preserve">objecting::intended::solution::design</t>
  </si>
  <si>
    <t xml:space="preserve">objecting::objecting::suggestion::change::(move::logic)</t>
  </si>
  <si>
    <t xml:space="preserve">objecting::objection::suggestion::refactoring::(use::method/function)</t>
  </si>
  <si>
    <t xml:space="preserve">objecting::providing::instructions::for::release::next:.development:.cycle</t>
  </si>
  <si>
    <t xml:space="preserve">objecting::refactoring::(style)</t>
  </si>
  <si>
    <t xml:space="preserve">objecting::suggestion::about::code::(no::need::of::code)</t>
  </si>
  <si>
    <t xml:space="preserve">objecting::suggestion::change::(change::input::parameter)</t>
  </si>
  <si>
    <t xml:space="preserve">objecting::suggestion::change::(design::access::modifiers)</t>
  </si>
  <si>
    <t xml:space="preserve">objecting::suggestion::change::(documentation::docstring)</t>
  </si>
  <si>
    <t xml:space="preserve">objecting::suggestion::change::(missing::tests)</t>
  </si>
  <si>
    <t xml:space="preserve">objecting::suggestion::change::(move::logic)</t>
  </si>
  <si>
    <t xml:space="preserve">objecting::suggestion::change::(move::logic)::with::code</t>
  </si>
  <si>
    <t xml:space="preserve">objecting::suggestion::change::(prevent::failure)</t>
  </si>
  <si>
    <t xml:space="preserve">objecting::suggestion::change::(solution::design)</t>
  </si>
  <si>
    <t xml:space="preserve">objecting::suggestion::change::(tests::result::specific::case)</t>
  </si>
  <si>
    <t xml:space="preserve">objecting::suggestion::change::(to::mantain::bacward::compatibility)</t>
  </si>
  <si>
    <t xml:space="preserve">objecting::suggestion::change::(update::method)</t>
  </si>
  <si>
    <t xml:space="preserve">objecting::suggestion::change::(variable::to::constant)</t>
  </si>
  <si>
    <t xml:space="preserve">objecting::suggestion::change::(wrapp::with::exception)</t>
  </si>
  <si>
    <t xml:space="preserve">objecting::suggestion::change::(wrong::logic)</t>
  </si>
  <si>
    <t xml:space="preserve">objecting::suggestion::rebase</t>
  </si>
  <si>
    <t xml:space="preserve">objecting::suggestion::refactoring::(add::exception)</t>
  </si>
  <si>
    <t xml:space="preserve">objecting::suggestion::refactoring::(change::data::structure)</t>
  </si>
  <si>
    <t xml:space="preserve">objecting::suggestion::refactoring::(cleaner::code)</t>
  </si>
  <si>
    <t xml:space="preserve">objecting::suggestion::refactoring::(cleaner::code)::with::code</t>
  </si>
  <si>
    <t xml:space="preserve">objecting::suggestion::refactoring::(extract::method)::with::code</t>
  </si>
  <si>
    <t xml:space="preserve">not::approval::for::submitting::(vote1)</t>
  </si>
  <si>
    <t xml:space="preserve">objecting::suggestion::refactoring::(merge::methods)</t>
  </si>
  <si>
    <t xml:space="preserve">not::approval::for::submitting::(vote10)</t>
  </si>
  <si>
    <t xml:space="preserve">objecting::suggestion::refactoring::(move::logic)</t>
  </si>
  <si>
    <t xml:space="preserve">not::approval::for::submitting::(vote11)</t>
  </si>
  <si>
    <t xml:space="preserve">objecting::suggestion::refactoring::(not::use::mock::object)</t>
  </si>
  <si>
    <t xml:space="preserve">objecting::suggestion::refactoring::(performance)</t>
  </si>
  <si>
    <t xml:space="preserve">objecting::suggestion::refactoring::(prevent::failure)</t>
  </si>
  <si>
    <t xml:space="preserve">objecting::suggestion::refactoring::(removing::unnecessary::code)</t>
  </si>
  <si>
    <t xml:space="preserve">objecting::suggestion::refactoring::(renaming)</t>
  </si>
  <si>
    <t xml:space="preserve">objecting::suggestion::refactoring::(style)</t>
  </si>
  <si>
    <t xml:space="preserve">objecting::suggestion::refactoring::(style)::what::to::import</t>
  </si>
  <si>
    <t xml:space="preserve">objecting::suggestion::refactoring::(type::exception)</t>
  </si>
  <si>
    <t xml:space="preserve">objecting::suggestion::refactoring::(use::loop)</t>
  </si>
  <si>
    <t xml:space="preserve">not::approval::for::submitting::(with::reasons)1</t>
  </si>
  <si>
    <t xml:space="preserve">objecting::suggestion::refactoring::(use::method/function)</t>
  </si>
  <si>
    <t xml:space="preserve">not::approval::for::submitting::(with::reasons)2</t>
  </si>
  <si>
    <t xml:space="preserve">objecting::suggestion::refactoring::(wrapper)</t>
  </si>
  <si>
    <t xml:space="preserve">not::approval::for::submitting::(with::reasons)8</t>
  </si>
  <si>
    <t xml:space="preserve">objecting::the::categorization::of::issue::as::bug</t>
  </si>
  <si>
    <t xml:space="preserve">not::approval::for::submitting::core::rev1</t>
  </si>
  <si>
    <t xml:space="preserve">pr::is::continuation::of::other::pr</t>
  </si>
  <si>
    <t xml:space="preserve">not::approval::for::submitting::core::rev::(vote1)</t>
  </si>
  <si>
    <t xml:space="preserve">providing:.advice::refactoring::(conditional::with::interface)</t>
  </si>
  <si>
    <t xml:space="preserve">not::approval::for::submitting::core::rev::(vote4)</t>
  </si>
  <si>
    <t xml:space="preserve">providing:.clarification::about::the::reason::error::unit::test</t>
  </si>
  <si>
    <t xml:space="preserve">not::approval::for::submitting::core::rev::(vote5)</t>
  </si>
  <si>
    <t xml:space="preserve">providing:.clarification::on::broken::functionallity::after::submitting::changes::(how::was::it::fixed)</t>
  </si>
  <si>
    <t xml:space="preserve">not::approval::for::submitting::core::rev::(vote6)</t>
  </si>
  <si>
    <t xml:space="preserve">providing:.clarification::on::broken::functionallity::after::submitting::changes::(what::happened)</t>
  </si>
  <si>
    <t xml:space="preserve">not::approval::workflow::(vote1)</t>
  </si>
  <si>
    <t xml:space="preserve">providing::advice::about::changes::(verify::correctness)</t>
  </si>
  <si>
    <t xml:space="preserve">not::approval::workflow::(vote2)</t>
  </si>
  <si>
    <t xml:space="preserve">providing::advice::about::code::(a::different::approach::than::existing::one)</t>
  </si>
  <si>
    <t xml:space="preserve">not::approval::workflow::(vote3)</t>
  </si>
  <si>
    <t xml:space="preserve">providing::advice::about::code::(reason::of::changing::code)</t>
  </si>
  <si>
    <t xml:space="preserve">not::approval::workflow::(vote4)</t>
  </si>
  <si>
    <t xml:space="preserve">providing::advice::about::code::and::documentation::(functionallity)</t>
  </si>
  <si>
    <t xml:space="preserve">nothing</t>
  </si>
  <si>
    <t xml:space="preserve">providing::advice::about::suggestion::change::current::approach::(change::for::different::api::version)</t>
  </si>
  <si>
    <t xml:space="preserve">providing::advice::about::suggestion::refactoring::(style::removing::unnecessary::newline)</t>
  </si>
  <si>
    <t xml:space="preserve">providing::advice::developing::process::(need::to::file::BP)</t>
  </si>
  <si>
    <t xml:space="preserve">noticing::incorrect::use::of::patches</t>
  </si>
  <si>
    <t xml:space="preserve">providing::advice::developing::process::(relate::a::BP::or::bug::with::commit)</t>
  </si>
  <si>
    <t xml:space="preserve">providing::advice::how::to::develop::(standards)</t>
  </si>
  <si>
    <t xml:space="preserve">objecting::advice::how::to::develop</t>
  </si>
  <si>
    <t xml:space="preserve">providing::advice::how::to::fix::(alternative::solution)</t>
  </si>
  <si>
    <t xml:space="preserve">objecting::changes::required::for::submitting</t>
  </si>
  <si>
    <t xml:space="preserve">providing::advice::how::to::fix::failures</t>
  </si>
  <si>
    <t xml:space="preserve">objecting::clarification::about::code</t>
  </si>
  <si>
    <t xml:space="preserve">providing::advice::how::to::fix::failures::(avoid::shutdown)</t>
  </si>
  <si>
    <t xml:space="preserve">objecting::clarification::about::code::(how::to::test::it)</t>
  </si>
  <si>
    <t xml:space="preserve">providing::advice::how::to::fix::failures::(building::tests)</t>
  </si>
  <si>
    <t xml:space="preserve">objecting::clarification::about::code::(input::paramenter)</t>
  </si>
  <si>
    <t xml:space="preserve">providing::advice::how::to::fix::failures::(how::to::initialize::variables)::with::code</t>
  </si>
  <si>
    <t xml:space="preserve">objecting::clarification::intended::solution::design::(does::not::apply)</t>
  </si>
  <si>
    <t xml:space="preserve">providing::advice::how::to::fix::failures::(revert:.changes)</t>
  </si>
  <si>
    <t xml:space="preserve">providing::advice::implications::of::suggestion::refactoring::(move::logic::parent::class::instead::of::sub::classes)</t>
  </si>
  <si>
    <t xml:space="preserve">objecting::move:.the::changes:.to::different::patch::(new::patch)</t>
  </si>
  <si>
    <t xml:space="preserve">providing::clarification::(need::of::conditional)</t>
  </si>
  <si>
    <t xml:space="preserve">providing::clarification::(need::of::method::calling)</t>
  </si>
  <si>
    <t xml:space="preserve">objecting::objecting::suggestion::refactoring::(move::logic)</t>
  </si>
  <si>
    <t xml:space="preserve">providing::clarification::(need::of::new::PR)</t>
  </si>
  <si>
    <t xml:space="preserve">objecting::objection::suggestion::refactoring::(unnecesary::loop)</t>
  </si>
  <si>
    <t xml:space="preserve">providing::clarification::(need::to::move::logic)</t>
  </si>
  <si>
    <t xml:space="preserve">providing::clarification::(need::to::remove::code)</t>
  </si>
  <si>
    <t xml:space="preserve">objecting::suggestion::change::(architecture)</t>
  </si>
  <si>
    <t xml:space="preserve">providing::clarification::(where::is::the::BP::implemented)</t>
  </si>
  <si>
    <t xml:space="preserve">objecting::suggestion::change::(change::method)</t>
  </si>
  <si>
    <t xml:space="preserve">providing::clarification::about::change::(documentation)</t>
  </si>
  <si>
    <t xml:space="preserve">objecting::suggestion::change::(change::type)</t>
  </si>
  <si>
    <t xml:space="preserve">providing::clarification::about::code::(a::different::approach::than::existing::one)</t>
  </si>
  <si>
    <t xml:space="preserve">objecting::suggestion::change::(database::query)</t>
  </si>
  <si>
    <t xml:space="preserve">providing::clarification::about::code::(conditional::with::break)</t>
  </si>
  <si>
    <t xml:space="preserve">objecting::suggestion::change::(default::values)</t>
  </si>
  <si>
    <t xml:space="preserve">providing::clarification::about::code::(default::value)</t>
  </si>
  <si>
    <t xml:space="preserve">objecting::suggestion::change::(documentation)</t>
  </si>
  <si>
    <t xml:space="preserve">providing::clarification::about::code::(design)</t>
  </si>
  <si>
    <t xml:space="preserve">objecting::suggestion::change::(error::handling)</t>
  </si>
  <si>
    <t xml:space="preserve">providing::clarification::about::code::(design::access::modifiers)</t>
  </si>
  <si>
    <t xml:space="preserve">objecting::suggestion::change::(exception::type)</t>
  </si>
  <si>
    <t xml:space="preserve">providing::clarification::about::code::(functionallity)</t>
  </si>
  <si>
    <t xml:space="preserve">objecting::suggestion::change::(functionallity)</t>
  </si>
  <si>
    <t xml:space="preserve">providing::clarification::about::code::(functionallity::paths::scope)</t>
  </si>
  <si>
    <t xml:space="preserve">objecting::suggestion::change::(logic)</t>
  </si>
  <si>
    <t xml:space="preserve">providing::clarification::about::code::(input::parameter)</t>
  </si>
  <si>
    <t xml:space="preserve">providing::clarification::about::code::(log::need)</t>
  </si>
  <si>
    <t xml:space="preserve">providing::clarification::about::code::(logic)</t>
  </si>
  <si>
    <t xml:space="preserve">providing::clarification::about::code::(missing::context)</t>
  </si>
  <si>
    <t xml:space="preserve">objecting::suggestion::change::(test::design)</t>
  </si>
  <si>
    <t xml:space="preserve">providing::clarification::about::code::(missing::tests)</t>
  </si>
  <si>
    <t xml:space="preserve">providing::clarification::about::code::(need::functionallity)</t>
  </si>
  <si>
    <t xml:space="preserve">objecting::suggestion::change::(typo)</t>
  </si>
  <si>
    <t xml:space="preserve">providing::clarification::about::code::(need::of::code)</t>
  </si>
  <si>
    <t xml:space="preserve">providing::clarification::about::code::(need::of::config::parameters)</t>
  </si>
  <si>
    <t xml:space="preserve">objecting::suggestion::change::(use::method/function)</t>
  </si>
  <si>
    <t xml:space="preserve">providing::clarification::about::code::(need::of::tests)</t>
  </si>
  <si>
    <t xml:space="preserve">providing::clarification::about::code::(previous::version::vs::actual::code)</t>
  </si>
  <si>
    <t xml:space="preserve">objecting::suggestion::change::(versioning)</t>
  </si>
  <si>
    <t xml:space="preserve">providing::clarification::about::code::(reason::of::changing::code)</t>
  </si>
  <si>
    <t xml:space="preserve">objecting::suggestion::move:.the::changes:.to::different::patch::(new::patch)</t>
  </si>
  <si>
    <t xml:space="preserve">providing::clarification::about::code::(reason::of::the:.code)</t>
  </si>
  <si>
    <t xml:space="preserve">providing::clarification::about::code::(reason::of::the::design)</t>
  </si>
  <si>
    <t xml:space="preserve">objecting::suggestion::refactoring::(config::file::new::group)</t>
  </si>
  <si>
    <t xml:space="preserve">providing::clarification::about::code::(tests::result::specific::case)</t>
  </si>
  <si>
    <t xml:space="preserve">objecting::suggestion::refactoring::(duplications)</t>
  </si>
  <si>
    <t xml:space="preserve">providing::clarification::about::code::(unnecesary::loop)</t>
  </si>
  <si>
    <t xml:space="preserve">providing::clarification::about::config::(fixed::values)</t>
  </si>
  <si>
    <t xml:space="preserve">objecting::suggestion::refactoring::(naming::variable)</t>
  </si>
  <si>
    <t xml:space="preserve">providing::clarification::about::dependencies</t>
  </si>
  <si>
    <t xml:space="preserve">objecting::suggestion::refactoring::(optional::improvement)</t>
  </si>
  <si>
    <t xml:space="preserve">providing::clarification::about::project::(version)</t>
  </si>
  <si>
    <t xml:space="preserve">objecting::suggestion::refactoring::(out::of::scope)</t>
  </si>
  <si>
    <t xml:space="preserve">providing::clarification::about::suggestion</t>
  </si>
  <si>
    <t xml:space="preserve">providing::clarification::change::(change::method)</t>
  </si>
  <si>
    <t xml:space="preserve">objecting::suggestion::refactoring::(performance)::with::code</t>
  </si>
  <si>
    <t xml:space="preserve">providing::clarification::change::(logging::message::clearness::and::level)</t>
  </si>
  <si>
    <t xml:space="preserve">providing::clarification::content::(commit::message)</t>
  </si>
  <si>
    <t xml:space="preserve">providing::clarification::developing::process::(added::wrong::commit::to::PR)</t>
  </si>
  <si>
    <t xml:space="preserve">providing::clarification::developing::process::(code::and::managment::of::patches)</t>
  </si>
  <si>
    <t xml:space="preserve">providing::clarification::developing::process::(need::to::file::BP)</t>
  </si>
  <si>
    <t xml:space="preserve">objecting::suggestion::refactoring::(test::naming)</t>
  </si>
  <si>
    <t xml:space="preserve">providing::clarification::implications::of::suggestion::refactoring::(move::logic::parent::class::instead::of::sub::classes)</t>
  </si>
  <si>
    <t xml:space="preserve">objecting::suggestion::refactoring::(unnecesary::code)</t>
  </si>
  <si>
    <t xml:space="preserve">objecting::suggestion::refactoring::(unnecesary::loop)</t>
  </si>
  <si>
    <t xml:space="preserve">providing::clarification::noticing::comment::not::addressed::(previous::patch)</t>
  </si>
  <si>
    <t xml:space="preserve">objecting::suggestion::refactoring::(use::decorators)</t>
  </si>
  <si>
    <t xml:space="preserve">providing::clarification::previous::version::(deliberate)</t>
  </si>
  <si>
    <t xml:space="preserve">providing::confirmation::of::intended::solution</t>
  </si>
  <si>
    <t xml:space="preserve">providing::instructions::for::current:.development:.cycle</t>
  </si>
  <si>
    <t xml:space="preserve">objecting::wait::for::next::release</t>
  </si>
  <si>
    <t xml:space="preserve">providing::instructions::for::release::next:.development:.cycle</t>
  </si>
  <si>
    <t xml:space="preserve">objection::suggestion::change::(new::dependency)</t>
  </si>
  <si>
    <t xml:space="preserve">providing::justification::about::code::(reason::of::the::design::tests)</t>
  </si>
  <si>
    <t xml:space="preserve">objection::suggestion::refactoring::(split::method)</t>
  </si>
  <si>
    <t xml:space="preserve">providing::justification::about::code::(reason::of::the::type::choices)</t>
  </si>
  <si>
    <t xml:space="preserve">other::review::is::waiting::for::this</t>
  </si>
  <si>
    <t xml:space="preserve">providing::justification::about::voting::(importance::to::include::the::change)</t>
  </si>
  <si>
    <t xml:space="preserve">providing::pros::and::cons:.change:.design</t>
  </si>
  <si>
    <t xml:space="preserve">patch::good::enough</t>
  </si>
  <si>
    <t xml:space="preserve">providing::solution::to:.design::challenge::(responsability::another::project:.(e.g.,ironic)</t>
  </si>
  <si>
    <t xml:space="preserve">raising::issue::(typo::comment)</t>
  </si>
  <si>
    <t xml:space="preserve">providing::advice::best::practice::(style)</t>
  </si>
  <si>
    <t xml:space="preserve">ready::approval::for::submitting</t>
  </si>
  <si>
    <t xml:space="preserve">providing::advice::best::practice::(versioning)::with::code</t>
  </si>
  <si>
    <t xml:space="preserve">ready::approval::for::submitting10</t>
  </si>
  <si>
    <t xml:space="preserve">providing::advice::how::to::develop::(use::of::patches)</t>
  </si>
  <si>
    <t xml:space="preserve">ready::approval::for::submitting10::(core::reviewer)</t>
  </si>
  <si>
    <t xml:space="preserve">providing::advice::suggestion::refactoring::(naming::function)</t>
  </si>
  <si>
    <t xml:space="preserve">ready::approval::for::submitting11</t>
  </si>
  <si>
    <t xml:space="preserve">providing::clarification::(need::of::constant)</t>
  </si>
  <si>
    <t xml:space="preserve">ready::approval::for::submitting11::(core::reviewer)</t>
  </si>
  <si>
    <t xml:space="preserve">ready::approval::for::submitting12</t>
  </si>
  <si>
    <t xml:space="preserve">ready::approval::for::submitting12::(core::reviewer)</t>
  </si>
  <si>
    <t xml:space="preserve">providing::clarification::about::change</t>
  </si>
  <si>
    <t xml:space="preserve">ready::approval::for::submitting13</t>
  </si>
  <si>
    <t xml:space="preserve">providing::clarification::about::change::(logic)</t>
  </si>
  <si>
    <t xml:space="preserve">ready::approval::for::submitting13::(core::reviewer)</t>
  </si>
  <si>
    <t xml:space="preserve">providing::clarification::about::code</t>
  </si>
  <si>
    <t xml:space="preserve">ready::approval::for::submitting14</t>
  </si>
  <si>
    <t xml:space="preserve">ready::approval::for::submitting15::(core::reviewer)</t>
  </si>
  <si>
    <t xml:space="preserve">providing::clarification::about::code::(error::handling)</t>
  </si>
  <si>
    <t xml:space="preserve">ready::approval::for::submitting16</t>
  </si>
  <si>
    <t xml:space="preserve">ready::approval::for::submitting16::(core::reviewer)</t>
  </si>
  <si>
    <t xml:space="preserve">providing::clarification::about::code::(how::to::test::it)</t>
  </si>
  <si>
    <t xml:space="preserve">ready::approval::for::submitting17</t>
  </si>
  <si>
    <t xml:space="preserve">ready::approval::for::submitting17::(core::reviewer)</t>
  </si>
  <si>
    <t xml:space="preserve">providing::clarification::about::code::(logging)</t>
  </si>
  <si>
    <t xml:space="preserve">ready::approval::for::submitting18</t>
  </si>
  <si>
    <t xml:space="preserve">ready::approval::for::submitting18::(core::reviewer)</t>
  </si>
  <si>
    <t xml:space="preserve">ready::approval::for::submitting19</t>
  </si>
  <si>
    <t xml:space="preserve">providing::clarification::about::code::(naming)</t>
  </si>
  <si>
    <t xml:space="preserve">ready::approval::for::submitting19::(core::reviewer)</t>
  </si>
  <si>
    <t xml:space="preserve">ready::approval::for::submitting2</t>
  </si>
  <si>
    <t xml:space="preserve">providing::clarification::about::code::(solution::design)</t>
  </si>
  <si>
    <t xml:space="preserve">ready::approval::for::submitting20</t>
  </si>
  <si>
    <t xml:space="preserve">providing::clarification::about::code::(types)</t>
  </si>
  <si>
    <t xml:space="preserve">ready::approval::for::submitting20::(core::reviewer)</t>
  </si>
  <si>
    <t xml:space="preserve">providing::clarification::about::config</t>
  </si>
  <si>
    <t xml:space="preserve">ready::approval::for::submitting21</t>
  </si>
  <si>
    <t xml:space="preserve">ready::approval::for::submitting22</t>
  </si>
  <si>
    <t xml:space="preserve">providing::clarification::about::content::(commit::message)</t>
  </si>
  <si>
    <t xml:space="preserve">ready::approval::for::submitting22::(core::reviewer)</t>
  </si>
  <si>
    <t xml:space="preserve">ready::approval::for::submitting23</t>
  </si>
  <si>
    <t xml:space="preserve">providing::clarification::about::dependency</t>
  </si>
  <si>
    <t xml:space="preserve">ready::approval::for::submitting23::(core::reviewer)</t>
  </si>
  <si>
    <t xml:space="preserve">providing::clarification::about::dependency::(api::version)</t>
  </si>
  <si>
    <t xml:space="preserve">ready::approval::for::submitting24</t>
  </si>
  <si>
    <t xml:space="preserve">providing::clarification::about::documentation</t>
  </si>
  <si>
    <t xml:space="preserve">ready::approval::for::submitting24::(core::reviewer)</t>
  </si>
  <si>
    <t xml:space="preserve">ready::approval::for::submitting25</t>
  </si>
  <si>
    <t xml:space="preserve">providing::clarification::about::waiting::for::patch::(other::review)</t>
  </si>
  <si>
    <t xml:space="preserve">ready::approval::for::submitting26</t>
  </si>
  <si>
    <t xml:space="preserve">ready::approval::for::submitting26::(core::reviewer)</t>
  </si>
  <si>
    <t xml:space="preserve">ready::approval::for::submitting27</t>
  </si>
  <si>
    <t xml:space="preserve">providing::solution::(new::library)</t>
  </si>
  <si>
    <t xml:space="preserve">ready::approval::for::submitting27::(core::reviewer)</t>
  </si>
  <si>
    <t xml:space="preserve">providing::solution::(performance)</t>
  </si>
  <si>
    <t xml:space="preserve">ready::approval::for::submitting28</t>
  </si>
  <si>
    <t xml:space="preserve">question::regarding::blueprint</t>
  </si>
  <si>
    <t xml:space="preserve">ready::approval::for::submitting28::(core::reviewer)</t>
  </si>
  <si>
    <t xml:space="preserve">raising::issue::(potential::technical::debt)</t>
  </si>
  <si>
    <t xml:space="preserve">ready::approval::for::submitting29</t>
  </si>
  <si>
    <t xml:space="preserve">ready::approval::for::submitting2::(core::reviewer)</t>
  </si>
  <si>
    <t xml:space="preserve">rebase::conflict</t>
  </si>
  <si>
    <t xml:space="preserve">ready::approval::for::submitting3</t>
  </si>
  <si>
    <t xml:space="preserve">references::conversation::irc</t>
  </si>
  <si>
    <t xml:space="preserve">ready::approval::for::submitting30::(core::reviewer)</t>
  </si>
  <si>
    <t xml:space="preserve">references::meeting</t>
  </si>
  <si>
    <t xml:space="preserve">ready::approval::for::submitting31</t>
  </si>
  <si>
    <t xml:space="preserve">referes::to::approved::spec</t>
  </si>
  <si>
    <t xml:space="preserve">ready::approval::for::submitting31::(core::reviewer)</t>
  </si>
  <si>
    <t xml:space="preserve">referes::to::code::(elsewhere)</t>
  </si>
  <si>
    <t xml:space="preserve">ready::approval::for::submitting32</t>
  </si>
  <si>
    <t xml:space="preserve">referes::to::code::(gist)</t>
  </si>
  <si>
    <t xml:space="preserve">ready::approval::for::submitting33</t>
  </si>
  <si>
    <t xml:space="preserve">referes::to::code::(github)</t>
  </si>
  <si>
    <t xml:space="preserve">ready::approval::for::submitting34</t>
  </si>
  <si>
    <t xml:space="preserve">referes::to::code::(migrations)</t>
  </si>
  <si>
    <t xml:space="preserve">ready::approval::for::submitting35</t>
  </si>
  <si>
    <t xml:space="preserve">referes::to::comment</t>
  </si>
  <si>
    <t xml:space="preserve">ready::approval::for::submitting36</t>
  </si>
  <si>
    <t xml:space="preserve">referes::to::comment::(older::revision)</t>
  </si>
  <si>
    <t xml:space="preserve">ready::approval::for::submitting37</t>
  </si>
  <si>
    <t xml:space="preserve">referes::to::comment::(other::file)</t>
  </si>
  <si>
    <t xml:space="preserve">ready::approval::for::submitting38::(core::reviewer)</t>
  </si>
  <si>
    <t xml:space="preserve">referes::to::documentation</t>
  </si>
  <si>
    <t xml:space="preserve">ready::approval::for::submitting39</t>
  </si>
  <si>
    <t xml:space="preserve">referes::to::email</t>
  </si>
  <si>
    <t xml:space="preserve">ready::approval::for::submitting3::(core::reviewer)</t>
  </si>
  <si>
    <t xml:space="preserve">referes::to::previous::conversation::(location::unknown)</t>
  </si>
  <si>
    <t xml:space="preserve">ready::approval::for::submitting4</t>
  </si>
  <si>
    <t xml:space="preserve">referes::to::previous::objection</t>
  </si>
  <si>
    <t xml:space="preserve">ready::approval::for::submitting40</t>
  </si>
  <si>
    <t xml:space="preserve">referes::to::previous::suggestion</t>
  </si>
  <si>
    <t xml:space="preserve">ready::approval::for::submitting41</t>
  </si>
  <si>
    <t xml:space="preserve">referes::to::previous::suggestion::refactoring::(cleaner::code)</t>
  </si>
  <si>
    <t xml:space="preserve">ready::approval::for::submitting4::(core::reviewer)</t>
  </si>
  <si>
    <t xml:space="preserve">referes::to::related::BP</t>
  </si>
  <si>
    <t xml:space="preserve">ready::approval::for::submitting5</t>
  </si>
  <si>
    <t xml:space="preserve">referes::to::related::bug</t>
  </si>
  <si>
    <t xml:space="preserve">ready::approval::for::submitting5::(core::reviewer)</t>
  </si>
  <si>
    <t xml:space="preserve">referes::to::related::issue</t>
  </si>
  <si>
    <t xml:space="preserve">ready::approval::for::submitting6</t>
  </si>
  <si>
    <t xml:space="preserve">referes::to::related::review</t>
  </si>
  <si>
    <t xml:space="preserve">ready::approval::for::submitting6::(core::reviewer)</t>
  </si>
  <si>
    <t xml:space="preserve">referes::to::spec::(github)</t>
  </si>
  <si>
    <t xml:space="preserve">ready::approval::for::submitting7</t>
  </si>
  <si>
    <t xml:space="preserve">refers::previous::comment</t>
  </si>
  <si>
    <t xml:space="preserve">ready::approval::for::submitting7::(core::reviewer)</t>
  </si>
  <si>
    <t xml:space="preserve">reminder::previous::comment</t>
  </si>
  <si>
    <t xml:space="preserve">ready::approval::for::submitting8</t>
  </si>
  <si>
    <t xml:space="preserve">reminder::todo</t>
  </si>
  <si>
    <t xml:space="preserve">ready::approval::for::submitting8::(core::reviewer)</t>
  </si>
  <si>
    <t xml:space="preserve">reminder::update::votes</t>
  </si>
  <si>
    <t xml:space="preserve">ready::approval::for::submitting9</t>
  </si>
  <si>
    <t xml:space="preserve">requesting::explanation::for::not::aproval</t>
  </si>
  <si>
    <t xml:space="preserve">ready::approval::for::submitting9::(core::reviewer)</t>
  </si>
  <si>
    <t xml:space="preserve">requesting::more::tests</t>
  </si>
  <si>
    <t xml:space="preserve">ready::approval::for::submitting::(core::reviewer)</t>
  </si>
  <si>
    <t xml:space="preserve">requesting::more::tests::(coverage)</t>
  </si>
  <si>
    <t xml:space="preserve">ready::approval::for::submitting::(vote)</t>
  </si>
  <si>
    <t xml:space="preserve">requesting::more::tests::(missing::case)</t>
  </si>
  <si>
    <t xml:space="preserve">ready::approval::for::submitting::(vote)::(core::reviewer)</t>
  </si>
  <si>
    <t xml:space="preserve">requesting::of::checking::for::bugs</t>
  </si>
  <si>
    <t xml:space="preserve">ready::approval::for::submitting::(vote10)</t>
  </si>
  <si>
    <t xml:space="preserve">requesting::reviews::from::others</t>
  </si>
  <si>
    <t xml:space="preserve">ready::approval::for::submitting::(vote11)</t>
  </si>
  <si>
    <t xml:space="preserve">retracting::objecting::code::(need::of::config::parameters)</t>
  </si>
  <si>
    <t xml:space="preserve">ready::approval::for::submitting::(vote12)::(code::review)</t>
  </si>
  <si>
    <t xml:space="preserve">retracting::suggestion::change::(class::to::static)</t>
  </si>
  <si>
    <t xml:space="preserve">ready::approval::for::submitting::(vote13)</t>
  </si>
  <si>
    <t xml:space="preserve">retracting::suggestion::change::(error::handling)</t>
  </si>
  <si>
    <t xml:space="preserve">ready::approval::for::submitting::(vote2)</t>
  </si>
  <si>
    <t xml:space="preserve">retracting::suggestion::change::(naming)</t>
  </si>
  <si>
    <t xml:space="preserve">ready::approval::for::submitting::(vote2)::(core::reviewer)</t>
  </si>
  <si>
    <t xml:space="preserve">retracting::suggestion::change::(property)</t>
  </si>
  <si>
    <t xml:space="preserve">ready::approval::for::submitting::(vote3)</t>
  </si>
  <si>
    <t xml:space="preserve">retracting::suggestion::refactoring::(clearer::code)</t>
  </si>
  <si>
    <t xml:space="preserve">ready::approval::for::submitting::(vote3)::(core::reviewer)</t>
  </si>
  <si>
    <t xml:space="preserve">retracting::suggestion::refactoring::(style)</t>
  </si>
  <si>
    <t xml:space="preserve">ready::approval::for::submitting::(vote4)</t>
  </si>
  <si>
    <t xml:space="preserve">review::restored::after::abandoned</t>
  </si>
  <si>
    <t xml:space="preserve">ready::approval::for::submitting::(vote4)::(core::reviewer)</t>
  </si>
  <si>
    <t xml:space="preserve">review::restored::after::abandoned2</t>
  </si>
  <si>
    <t xml:space="preserve">ready::approval::for::submitting::(vote5)</t>
  </si>
  <si>
    <t xml:space="preserve">review::restored::after::abandoned3</t>
  </si>
  <si>
    <t xml:space="preserve">ready::approval::for::submitting::(vote5)::(core::reviewer)</t>
  </si>
  <si>
    <t xml:space="preserve">security::impact::mentioned</t>
  </si>
  <si>
    <t xml:space="preserve">ready::approval::for::submitting::(vote6)</t>
  </si>
  <si>
    <t xml:space="preserve">split::patches</t>
  </si>
  <si>
    <t xml:space="preserve">ready::approval::for::submitting::(vote6)::(core::reviewer)</t>
  </si>
  <si>
    <t xml:space="preserve">suggestion::change::(add::documentation)</t>
  </si>
  <si>
    <t xml:space="preserve">ready::approval::for::submitting::(vote7)</t>
  </si>
  <si>
    <t xml:space="preserve">suggestion::change::(add::inline::documentation)</t>
  </si>
  <si>
    <t xml:space="preserve">ready::approval::for::submitting::(vote7)::(core::reviewer)</t>
  </si>
  <si>
    <t xml:space="preserve">suggestion::change::(api::version)</t>
  </si>
  <si>
    <t xml:space="preserve">ready::approval::for::submitting::(vote8)</t>
  </si>
  <si>
    <t xml:space="preserve">suggestion::change::(architecture)</t>
  </si>
  <si>
    <t xml:space="preserve">ready::approval::for::submitting::(vote8)::(core::reviewer)</t>
  </si>
  <si>
    <t xml:space="preserve">suggestion::change::(backwards::compatebility)</t>
  </si>
  <si>
    <t xml:space="preserve">ready::approval::for::submitting::(vote9)</t>
  </si>
  <si>
    <t xml:space="preserve">suggestion::change::(change::method)</t>
  </si>
  <si>
    <t xml:space="preserve">ready::approval::for::submitting::(vote9)::(core::reviewer)</t>
  </si>
  <si>
    <t xml:space="preserve">suggestion::change::(change::type)</t>
  </si>
  <si>
    <t xml:space="preserve">reatracting::suggestion::change::(change::input::parameter)</t>
  </si>
  <si>
    <t xml:space="preserve">suggestion::change::(class::to::static)</t>
  </si>
  <si>
    <t xml:space="preserve">suggestion::change::(coding::error)</t>
  </si>
  <si>
    <t xml:space="preserve">reference::another::developer</t>
  </si>
  <si>
    <t xml:space="preserve">suggestion::change::(database::models)</t>
  </si>
  <si>
    <t xml:space="preserve">referes::external::url</t>
  </si>
  <si>
    <t xml:space="preserve">suggestion::change::(database::query)</t>
  </si>
  <si>
    <t xml:space="preserve">referes::to::a::review</t>
  </si>
  <si>
    <t xml:space="preserve">suggestion::change::(default::values)</t>
  </si>
  <si>
    <t xml:space="preserve">referes::to::code::(elsewhere)::as::assistance</t>
  </si>
  <si>
    <t xml:space="preserve">suggestion::change::(default::values::config)</t>
  </si>
  <si>
    <t xml:space="preserve">suggestion::change::(delete::temporary::files)</t>
  </si>
  <si>
    <t xml:space="preserve">suggestion::change::(delete::type/exception)</t>
  </si>
  <si>
    <t xml:space="preserve">referes::to::comment::(other::PR)</t>
  </si>
  <si>
    <t xml:space="preserve">suggestion::change::(documentation)</t>
  </si>
  <si>
    <t xml:space="preserve">suggestion::change::(documentation::docstring)</t>
  </si>
  <si>
    <t xml:space="preserve">suggestion::change::(driver::level)</t>
  </si>
  <si>
    <t xml:space="preserve">referes::to::email::snippet::(solution)</t>
  </si>
  <si>
    <t xml:space="preserve">suggestion::change::(error::handling)</t>
  </si>
  <si>
    <t xml:space="preserve">referes::to::guides::(developer::guides)</t>
  </si>
  <si>
    <t xml:space="preserve">suggestion::change::(exception::type)</t>
  </si>
  <si>
    <t xml:space="preserve">referes::to::logs::(migrations)</t>
  </si>
  <si>
    <t xml:space="preserve">suggestion::change::(external::endpont::url)</t>
  </si>
  <si>
    <t xml:space="preserve">suggestion::change::(functionallity)</t>
  </si>
  <si>
    <t xml:space="preserve">suggestion::change::(input::parameter)</t>
  </si>
  <si>
    <t xml:space="preserve">referes::to::related::commit</t>
  </si>
  <si>
    <t xml:space="preserve">suggestion::change::(logging)</t>
  </si>
  <si>
    <t xml:space="preserve">suggestion::change::(logging::for::debugging)</t>
  </si>
  <si>
    <t xml:space="preserve">referes::to::related::PR</t>
  </si>
  <si>
    <t xml:space="preserve">suggestion::change::(logging::level)</t>
  </si>
  <si>
    <t xml:space="preserve">suggestion::change::(logging::message::clearness)</t>
  </si>
  <si>
    <t xml:space="preserve">suggestion::change::(logic)</t>
  </si>
  <si>
    <t xml:space="preserve">suggestion::change::(missing::tests)</t>
  </si>
  <si>
    <t xml:space="preserve">suggestion::change::(missing::unit::tests)</t>
  </si>
  <si>
    <t xml:space="preserve">suggestion::change::(move::logic)</t>
  </si>
  <si>
    <t xml:space="preserve">request::not::mergeFFE::(feature::freeze::exception)::close</t>
  </si>
  <si>
    <t xml:space="preserve">suggestion::change::(move::logic)::with::code</t>
  </si>
  <si>
    <t xml:space="preserve">request::of::rebase</t>
  </si>
  <si>
    <t xml:space="preserve">suggestion::change::(naming)</t>
  </si>
  <si>
    <t xml:space="preserve">requesting::check::pylint</t>
  </si>
  <si>
    <t xml:space="preserve">suggestion::change::(naming::class)</t>
  </si>
  <si>
    <t xml:space="preserve">requesting::execution::of::CI::system</t>
  </si>
  <si>
    <t xml:space="preserve">suggestion::change::(naming::variable)</t>
  </si>
  <si>
    <t xml:space="preserve">suggestion::change::(new::dependency)</t>
  </si>
  <si>
    <t xml:space="preserve">suggestion::change::(object::version)</t>
  </si>
  <si>
    <t xml:space="preserve">requesting::more::tests::(coverage2)</t>
  </si>
  <si>
    <t xml:space="preserve">suggestion::change::(optional::improvement)</t>
  </si>
  <si>
    <t xml:space="preserve">suggestion::change::(optional::improvement::remove::duplicated::tests)</t>
  </si>
  <si>
    <t xml:space="preserve">requesting::of::checking::different::bug</t>
  </si>
  <si>
    <t xml:space="preserve">suggestion::change::(prevent::failure)</t>
  </si>
  <si>
    <t xml:space="preserve">requesting::of::checking::different::bug2</t>
  </si>
  <si>
    <t xml:space="preserve">suggestion::change::(property)</t>
  </si>
  <si>
    <t xml:space="preserve">requesting::of::checking::different::bug3</t>
  </si>
  <si>
    <t xml:space="preserve">suggestion::change::(remove::documentation)</t>
  </si>
  <si>
    <t xml:space="preserve">requesting::of::checking::different::bug4</t>
  </si>
  <si>
    <t xml:space="preserve">suggestion::change::(remove::obsulete::tests)</t>
  </si>
  <si>
    <t xml:space="preserve">requesting::of::checking::different::bug5</t>
  </si>
  <si>
    <t xml:space="preserve">suggestion::change::(remove::uncommented::code)</t>
  </si>
  <si>
    <t xml:space="preserve">requesting::of::checking::different::bug6</t>
  </si>
  <si>
    <t xml:space="preserve">suggestion::change::(removing::comment::documentation)</t>
  </si>
  <si>
    <t xml:space="preserve">requesting::of::checking::different::bug7</t>
  </si>
  <si>
    <t xml:space="preserve">suggestion::change::(removing::unnecessary::code)</t>
  </si>
  <si>
    <t xml:space="preserve">requesting::of::checking::different::review</t>
  </si>
  <si>
    <t xml:space="preserve">suggestion::change::(removing::unnecessary::import)</t>
  </si>
  <si>
    <t xml:space="preserve">requesting::reverify</t>
  </si>
  <si>
    <t xml:space="preserve">suggestion::change::(reverting::changes)</t>
  </si>
  <si>
    <t xml:space="preserve">suggestion::change::(security)</t>
  </si>
  <si>
    <t xml:space="preserve">requesting::somebodyelse::for::approval::for::submitting</t>
  </si>
  <si>
    <t xml:space="preserve">suggestion::change::(solution::design)</t>
  </si>
  <si>
    <t xml:space="preserve">requesting::somebodyelse::for::approval::for::submitting10</t>
  </si>
  <si>
    <t xml:space="preserve">suggestion::change::(test::design)</t>
  </si>
  <si>
    <t xml:space="preserve">requesting::somebodyelse::for::approval::for::submitting11</t>
  </si>
  <si>
    <t xml:space="preserve">suggestion::change::(test::fixes)</t>
  </si>
  <si>
    <t xml:space="preserve">requesting::somebodyelse::for::approval::for::submitting12</t>
  </si>
  <si>
    <t xml:space="preserve">suggestion::change::(test::remove)</t>
  </si>
  <si>
    <t xml:space="preserve">requesting::somebodyelse::for::approval::for::submitting13</t>
  </si>
  <si>
    <t xml:space="preserve">suggestion::change::(tests::result::specific::case)</t>
  </si>
  <si>
    <t xml:space="preserve">requesting::somebodyelse::for::approval::for::submitting14</t>
  </si>
  <si>
    <t xml:space="preserve">suggestion::change::(to::mantain::bacward::compatibility)</t>
  </si>
  <si>
    <t xml:space="preserve">requesting::somebodyelse::for::approval::for::submitting15</t>
  </si>
  <si>
    <t xml:space="preserve">suggestion::change::(translation::i18n)</t>
  </si>
  <si>
    <t xml:space="preserve">requesting::somebodyelse::for::approval::for::submitting16</t>
  </si>
  <si>
    <t xml:space="preserve">suggestion::change::(types)</t>
  </si>
  <si>
    <t xml:space="preserve">requesting::somebodyelse::for::approval::for::submitting17</t>
  </si>
  <si>
    <t xml:space="preserve">suggestion::change::(typo)</t>
  </si>
  <si>
    <t xml:space="preserve">requesting::somebodyelse::for::approval::for::submitting18</t>
  </si>
  <si>
    <t xml:space="preserve">suggestion::change::(undefined::value)</t>
  </si>
  <si>
    <t xml:space="preserve">requesting::somebodyelse::for::approval::for::submitting19</t>
  </si>
  <si>
    <t xml:space="preserve">suggestion::change::(unrelated::changes)</t>
  </si>
  <si>
    <t xml:space="preserve">requesting::somebodyelse::for::approval::for::submitting2</t>
  </si>
  <si>
    <t xml:space="preserve">suggestion::change::(update::method)</t>
  </si>
  <si>
    <t xml:space="preserve">requesting::somebodyelse::for::approval::for::submitting20</t>
  </si>
  <si>
    <t xml:space="preserve">suggestion::change::(use::method/function)</t>
  </si>
  <si>
    <t xml:space="preserve">requesting::somebodyelse::for::approval::for::submitting21</t>
  </si>
  <si>
    <t xml:space="preserve">suggestion::change::(use::mixin)</t>
  </si>
  <si>
    <t xml:space="preserve">requesting::somebodyelse::for::approval::for::submitting22</t>
  </si>
  <si>
    <t xml:space="preserve">suggestion::change::(use::python::api)</t>
  </si>
  <si>
    <t xml:space="preserve">requesting::somebodyelse::for::approval::for::submitting23</t>
  </si>
  <si>
    <t xml:space="preserve">suggestion::change::(variable::to::constant)</t>
  </si>
  <si>
    <t xml:space="preserve">requesting::somebodyelse::for::approval::for::submitting24</t>
  </si>
  <si>
    <t xml:space="preserve">suggestion::change::(versioning)</t>
  </si>
  <si>
    <t xml:space="preserve">requesting::somebodyelse::for::approval::for::submitting25</t>
  </si>
  <si>
    <t xml:space="preserve">suggestion::change::typo::(commit::message)</t>
  </si>
  <si>
    <t xml:space="preserve">requesting::somebodyelse::for::approval::for::submitting26</t>
  </si>
  <si>
    <t xml:space="preserve">suggestion::content::change::(commit::message)</t>
  </si>
  <si>
    <t xml:space="preserve">requesting::somebodyelse::for::approval::for::submitting27</t>
  </si>
  <si>
    <t xml:space="preserve">suggestion::content::change::(commit::message::authorship)</t>
  </si>
  <si>
    <t xml:space="preserve">requesting::somebodyelse::for::approval::for::submitting28</t>
  </si>
  <si>
    <t xml:space="preserve">suggestion::content::change::(commit::message::BP::referenced)</t>
  </si>
  <si>
    <t xml:space="preserve">requesting::somebodyelse::for::approval::for::submitting29</t>
  </si>
  <si>
    <t xml:space="preserve">suggestion::content::change::(commit::message::docImpact)</t>
  </si>
  <si>
    <t xml:space="preserve">requesting::somebodyelse::for::approval::for::submitting3</t>
  </si>
  <si>
    <t xml:space="preserve">suggestion::content::change::(commit::message::docImpact::explanation)</t>
  </si>
  <si>
    <t xml:space="preserve">requesting::somebodyelse::for::approval::for::submitting30</t>
  </si>
  <si>
    <t xml:space="preserve">suggestion::content::change::(missing::info::commit::message)</t>
  </si>
  <si>
    <t xml:space="preserve">requesting::somebodyelse::for::approval::for::submitting31</t>
  </si>
  <si>
    <t xml:space="preserve">suggestion::content::change::(typo::commit::message)</t>
  </si>
  <si>
    <t xml:space="preserve">requesting::somebodyelse::for::approval::for::submitting32</t>
  </si>
  <si>
    <t xml:space="preserve">suggestion::creating::followup::issue</t>
  </si>
  <si>
    <t xml:space="preserve">requesting::somebodyelse::for::approval::for::submitting33</t>
  </si>
  <si>
    <t xml:space="preserve">suggestion::DB::migration::(need)</t>
  </si>
  <si>
    <t xml:space="preserve">requesting::somebodyelse::for::approval::for::submitting34</t>
  </si>
  <si>
    <t xml:space="preserve">suggestion::ignore::backwards::compatebility</t>
  </si>
  <si>
    <t xml:space="preserve">requesting::somebodyelse::for::approval::for::submitting35</t>
  </si>
  <si>
    <t xml:space="preserve">suggestion::logging::(for::debugging)</t>
  </si>
  <si>
    <t xml:space="preserve">requesting::somebodyelse::for::approval::for::submitting4</t>
  </si>
  <si>
    <t xml:space="preserve">suggestion::manual::testing</t>
  </si>
  <si>
    <t xml:space="preserve">requesting::somebodyelse::for::approval::for::submitting5</t>
  </si>
  <si>
    <t xml:space="preserve">suggestion::move:.the::changes:.to::different::patch::(new::patch)</t>
  </si>
  <si>
    <t xml:space="preserve">requesting::somebodyelse::for::approval::for::submitting6</t>
  </si>
  <si>
    <t xml:space="preserve">suggestion::postpone::additional::changes</t>
  </si>
  <si>
    <t xml:space="preserve">requesting::somebodyelse::for::approval::for::submitting7</t>
  </si>
  <si>
    <t xml:space="preserve">suggestion::rebase</t>
  </si>
  <si>
    <t xml:space="preserve">requesting::somebodyelse::for::approval::for::submitting8</t>
  </si>
  <si>
    <t xml:space="preserve">suggestion::refactoring</t>
  </si>
  <si>
    <t xml:space="preserve">requesting::somebodyelse::for::approval::for::submitting9</t>
  </si>
  <si>
    <t xml:space="preserve">suggestion::refactoring::(accessibility::modifiers)</t>
  </si>
  <si>
    <t xml:space="preserve">requesting::suggestions::about::code::comment</t>
  </si>
  <si>
    <t xml:space="preserve">suggestion::refactoring::(change::input::parameter)</t>
  </si>
  <si>
    <t xml:space="preserve">reset::voting</t>
  </si>
  <si>
    <t xml:space="preserve">suggestion::refactoring::(change::location::of::code)</t>
  </si>
  <si>
    <t xml:space="preserve">reset::voting2</t>
  </si>
  <si>
    <t xml:space="preserve">suggestion::refactoring::(cleaner::code)</t>
  </si>
  <si>
    <t xml:space="preserve">reset::voting3</t>
  </si>
  <si>
    <t xml:space="preserve">suggestion::refactoring::(cleaner::code)::with::code</t>
  </si>
  <si>
    <t xml:space="preserve">retracting::objecting::change::(intended::solution::design)</t>
  </si>
  <si>
    <t xml:space="preserve">suggestion::refactoring::(clearer::code)</t>
  </si>
  <si>
    <t xml:space="preserve">suggestion::refactoring::(code::wont::work)</t>
  </si>
  <si>
    <t xml:space="preserve">retracting::retracting::objecting::change::(intended::solution::design)</t>
  </si>
  <si>
    <t xml:space="preserve">suggestion::refactoring::(config::file::new::group)</t>
  </si>
  <si>
    <t xml:space="preserve">retracting::suggestion::assert::change</t>
  </si>
  <si>
    <t xml:space="preserve">suggestion::refactoring::(consistency)</t>
  </si>
  <si>
    <t xml:space="preserve">retracting::suggestion::change::(change::method)</t>
  </si>
  <si>
    <t xml:space="preserve">suggestion::refactoring::(function::parameters)</t>
  </si>
  <si>
    <t xml:space="preserve">suggestion::refactoring::(import::modules::not::objects)</t>
  </si>
  <si>
    <t xml:space="preserve">retracting::suggestion::refactoring::(renaming)</t>
  </si>
  <si>
    <t xml:space="preserve">suggestion::refactoring::(introduce::parameter::defaults)</t>
  </si>
  <si>
    <t xml:space="preserve">suggestion::refactoring::(linting)</t>
  </si>
  <si>
    <t xml:space="preserve">retracting::suggestion::refactoring::(style)::what::to::import</t>
  </si>
  <si>
    <t xml:space="preserve">suggestion::refactoring::(move::logic)</t>
  </si>
  <si>
    <t xml:space="preserve">suggestion::refactoring::(naming)</t>
  </si>
  <si>
    <t xml:space="preserve">suggestion::refactoring::(naming::class)</t>
  </si>
  <si>
    <t xml:space="preserve">suggestion::refactoring::(naming::function)</t>
  </si>
  <si>
    <t xml:space="preserve">review::restored::after::abandoned4</t>
  </si>
  <si>
    <t xml:space="preserve">suggestion::refactoring::(naming::variable)</t>
  </si>
  <si>
    <t xml:space="preserve">review::restored::after::abandoned5</t>
  </si>
  <si>
    <t xml:space="preserve">suggestion::refactoring::(optional::improvement)</t>
  </si>
  <si>
    <t xml:space="preserve">suggestion::refactoring::(performance)</t>
  </si>
  <si>
    <t xml:space="preserve">solution::to::external::library::problem:.encountered</t>
  </si>
  <si>
    <t xml:space="preserve">suggestion::refactoring::(performance)::with::code</t>
  </si>
  <si>
    <t xml:space="preserve">source::of::test::failing::(external(bug)::internal)</t>
  </si>
  <si>
    <t xml:space="preserve">suggestion::refactoring::(remove::parameter::defaults)</t>
  </si>
  <si>
    <t xml:space="preserve">source::of::test::failing::(external::internal)</t>
  </si>
  <si>
    <t xml:space="preserve">suggestion::refactoring::(remove::unnecessary::parameter)</t>
  </si>
  <si>
    <t xml:space="preserve">source::of::test::failing::(external::source)</t>
  </si>
  <si>
    <t xml:space="preserve">suggestion::refactoring::(removing::not::thread::safe::code)</t>
  </si>
  <si>
    <t xml:space="preserve">suggestion::refactoring::(removing::unnecessary::code)</t>
  </si>
  <si>
    <t xml:space="preserve">suggesting::extending::tests</t>
  </si>
  <si>
    <t xml:space="preserve">suggestion::refactoring::(removing::unnecessary::constructor)</t>
  </si>
  <si>
    <t xml:space="preserve">suggesting::reversing::the::commit</t>
  </si>
  <si>
    <t xml:space="preserve">suggestion::refactoring::(removing::unnecessary::variable)</t>
  </si>
  <si>
    <t xml:space="preserve">suggestion::assert::change</t>
  </si>
  <si>
    <t xml:space="preserve">suggestion::refactoring::(renaming)</t>
  </si>
  <si>
    <t xml:space="preserve">suggestion::refactoring::(renaming::function/method)</t>
  </si>
  <si>
    <t xml:space="preserve">suggestion::change::(add::functionallity)</t>
  </si>
  <si>
    <t xml:space="preserve">suggestion::refactoring::(reverting::unnecessary::changes)</t>
  </si>
  <si>
    <t xml:space="preserve">suggestion::refactoring::(simpler::code)</t>
  </si>
  <si>
    <t xml:space="preserve">suggestion::change::(apply::to::different::api::version)</t>
  </si>
  <si>
    <t xml:space="preserve">suggestion::refactoring::(split::method)</t>
  </si>
  <si>
    <t xml:space="preserve">suggestion::refactoring::(steps::to::accomplish::it)</t>
  </si>
  <si>
    <t xml:space="preserve">suggestion::change::(architecture::tests)</t>
  </si>
  <si>
    <t xml:space="preserve">suggestion::refactoring::(steps::to::accomplish::it)::with::code</t>
  </si>
  <si>
    <t xml:space="preserve">suggestion::refactoring::(style)</t>
  </si>
  <si>
    <t xml:space="preserve">suggestion::change::(change::input::parameter)</t>
  </si>
  <si>
    <t xml:space="preserve">suggestion::refactoring::(style)::with::code</t>
  </si>
  <si>
    <t xml:space="preserve">suggestion::refactoring::(style::add::newline)</t>
  </si>
  <si>
    <t xml:space="preserve">suggestion::change::(change::the::used::value::of::variable)</t>
  </si>
  <si>
    <t xml:space="preserve">suggestion::refactoring::(style::comments/documentation)</t>
  </si>
  <si>
    <t xml:space="preserve">suggestion::refactoring::(style::imports)</t>
  </si>
  <si>
    <t xml:space="preserve">suggestion::refactoring::(style::indentation)</t>
  </si>
  <si>
    <t xml:space="preserve">suggestion::change::(content::logging::not::misleading)</t>
  </si>
  <si>
    <t xml:space="preserve">suggestion::refactoring::(style::missing::whitespace)</t>
  </si>
  <si>
    <t xml:space="preserve">suggestion::refactoring::(style::removing::newline)</t>
  </si>
  <si>
    <t xml:space="preserve">suggestion::change::(decorator::micro::version)</t>
  </si>
  <si>
    <t xml:space="preserve">suggestion::refactoring::(style::unnecessary::whitespace)</t>
  </si>
  <si>
    <t xml:space="preserve">suggestion::change::(delete::method/function)</t>
  </si>
  <si>
    <t xml:space="preserve">suggestion::refactoring::(test)</t>
  </si>
  <si>
    <t xml:space="preserve">suggestion::change::(design::access::modifiers)</t>
  </si>
  <si>
    <t xml:space="preserve">suggestion::refactoring::(test::naming)</t>
  </si>
  <si>
    <t xml:space="preserve">suggestion::refactoring::(typo)</t>
  </si>
  <si>
    <t xml:space="preserve">suggestion::change::(documentation::config::helper::info)</t>
  </si>
  <si>
    <t xml:space="preserve">suggestion::refactoring::(unnecesary::code)</t>
  </si>
  <si>
    <t xml:space="preserve">suggestion::refactoring::(unnecesary::loop)</t>
  </si>
  <si>
    <t xml:space="preserve">suggestion::change::(documentation::docstring::introduction)</t>
  </si>
  <si>
    <t xml:space="preserve">suggestion::refactoring::(use::decorator)</t>
  </si>
  <si>
    <t xml:space="preserve">suggestion::change::(documentation::License)</t>
  </si>
  <si>
    <t xml:space="preserve">suggestion::refactoring::(use::decorators)</t>
  </si>
  <si>
    <t xml:space="preserve">suggestion::change::(documentation::mismatch)</t>
  </si>
  <si>
    <t xml:space="preserve">suggestion::refactoring::(use::existing::variable)</t>
  </si>
  <si>
    <t xml:space="preserve">suggestion::change::(documentation::replace::docstring::with::comments)</t>
  </si>
  <si>
    <t xml:space="preserve">suggestion::refactoring::(use::method/function)</t>
  </si>
  <si>
    <t xml:space="preserve">suggestion::refactoring::(use::mock::object)</t>
  </si>
  <si>
    <t xml:space="preserve">suggestion::refactoring::code::(different::approach::change::config::file)</t>
  </si>
  <si>
    <t xml:space="preserve">suggestion::change::(in::new::PR/Issue)</t>
  </si>
  <si>
    <t xml:space="preserve">suggestion::style::change::(commit::message)</t>
  </si>
  <si>
    <t xml:space="preserve">suggestion::wrong::label</t>
  </si>
  <si>
    <t xml:space="preserve">summary::of::the::bug(s)</t>
  </si>
  <si>
    <t xml:space="preserve">summary::of::the::changes</t>
  </si>
  <si>
    <t xml:space="preserve">test::results::(unit::tests)</t>
  </si>
  <si>
    <t xml:space="preserve">thanking::for::fix</t>
  </si>
  <si>
    <t xml:space="preserve">suggestion::change::(logic::missing::info)</t>
  </si>
  <si>
    <t xml:space="preserve">thanking::for::reply</t>
  </si>
  <si>
    <t xml:space="preserve">suggestion::change::(method::log)</t>
  </si>
  <si>
    <t xml:space="preserve">thanking::for::review</t>
  </si>
  <si>
    <t xml:space="preserve">suggestion::change::(missing::characters)</t>
  </si>
  <si>
    <t xml:space="preserve">trivial::fix</t>
  </si>
  <si>
    <t xml:space="preserve">suggestion::change::(missing::class)</t>
  </si>
  <si>
    <t xml:space="preserve">wait::for::feature::freeze::(FFE)</t>
  </si>
  <si>
    <t xml:space="preserve">suggestion::change::(missing::condition::case)::with::code</t>
  </si>
  <si>
    <t xml:space="preserve">wait::for::issue::approval::(BP)</t>
  </si>
  <si>
    <t xml:space="preserve">wait::for::next::release</t>
  </si>
  <si>
    <t xml:space="preserve">wait::until::CI::pass</t>
  </si>
  <si>
    <t xml:space="preserve">waiting::for::fix</t>
  </si>
  <si>
    <t xml:space="preserve">waiting::for::patch::(other::blueprint)</t>
  </si>
  <si>
    <t xml:space="preserve">suggestion::change::(move::logic::method)</t>
  </si>
  <si>
    <t xml:space="preserve">waiting::for::patch::(other::review)</t>
  </si>
  <si>
    <t xml:space="preserve">suggestion::change::(remove::commented::code)</t>
  </si>
  <si>
    <t xml:space="preserve">suggestion::change::(removing::unnecessary::commit::info)</t>
  </si>
  <si>
    <t xml:space="preserve">suggestion::change::(wrapp::with::exception)</t>
  </si>
  <si>
    <t xml:space="preserve">suggestion::change::(wrong::logic)</t>
  </si>
  <si>
    <t xml:space="preserve">suggestion::change::based::on::test::failure</t>
  </si>
  <si>
    <t xml:space="preserve">suggestion::change::current::approach::(change::for::different::api::version)</t>
  </si>
  <si>
    <t xml:space="preserve">suggestion::change::intended::solution::design</t>
  </si>
  <si>
    <t xml:space="preserve">suggestion::chnage::(add::exception)</t>
  </si>
  <si>
    <t xml:space="preserve">suggestion::code::change::(missing::info)</t>
  </si>
  <si>
    <t xml:space="preserve">suggestion::different::approach::(managment::keys)</t>
  </si>
  <si>
    <t xml:space="preserve">suggestion::different::approach::to::the::change::(due::to::existing::functionallity::duplication)</t>
  </si>
  <si>
    <t xml:space="preserve">suggestion::error::code::(extra::characters)</t>
  </si>
  <si>
    <t xml:space="preserve">suggestion::include::changes::of::another::review::(different::change::ID)</t>
  </si>
  <si>
    <t xml:space="preserve">suggestion::move:.the::changes:.to::different::patch::(different::change::id)</t>
  </si>
  <si>
    <t xml:space="preserve">suggestion::not::installing::libraries::not::found:.in::official::repo</t>
  </si>
  <si>
    <t xml:space="preserve">suggestion::not::rebasing::the::change</t>
  </si>
  <si>
    <t xml:space="preserve">suggestion::of::an::example::(config::file)</t>
  </si>
  <si>
    <t xml:space="preserve">suggestion::of::the::developing::process::(code::and::managment::of::patches)</t>
  </si>
  <si>
    <t xml:space="preserve">suggestion::on::how::to::test::(steps::and::needed::devices)</t>
  </si>
  <si>
    <t xml:space="preserve">suggestion::refactoring::(add::exception)</t>
  </si>
  <si>
    <t xml:space="preserve">suggestion::refactoring::(change::data::structure)</t>
  </si>
  <si>
    <t xml:space="preserve">suggestion::refactoring::(change::type::function)</t>
  </si>
  <si>
    <t xml:space="preserve">suggestion::refactoring::(change::type::method)</t>
  </si>
  <si>
    <t xml:space="preserve">suggestion::refactoring::(change::used::class)</t>
  </si>
  <si>
    <t xml:space="preserve">suggestion::refactoring::(change::wrapper)</t>
  </si>
  <si>
    <t xml:space="preserve">suggestion::refactoring::(comparison::operators)</t>
  </si>
  <si>
    <t xml:space="preserve">suggestion::refactoring::(conditional::with::exception)</t>
  </si>
  <si>
    <t xml:space="preserve">suggestion::refactoring::(conditional::with::interface)</t>
  </si>
  <si>
    <t xml:space="preserve">suggestion::refactoring::(conditional::with::return)</t>
  </si>
  <si>
    <t xml:space="preserve">suggestion::refactoring::(consistency::docstring)</t>
  </si>
  <si>
    <t xml:space="preserve">suggestion::refactoring::(encription::type)</t>
  </si>
  <si>
    <t xml:space="preserve">suggestion::refactoring::(extensibility::code)</t>
  </si>
  <si>
    <t xml:space="preserve">suggestion::refactoring::(extract::method)</t>
  </si>
  <si>
    <t xml:space="preserve">suggestion::refactoring::(extract::method)::with::code</t>
  </si>
  <si>
    <t xml:space="preserve">suggestion::refactoring::(extract::sub::classes)</t>
  </si>
  <si>
    <t xml:space="preserve">suggestion::refactoring::(fixed::values::config::init)</t>
  </si>
  <si>
    <t xml:space="preserve">suggestion::refactoring::(fixed::values::security)</t>
  </si>
  <si>
    <t xml:space="preserve">suggestion::refactoring::(how::often::log)</t>
  </si>
  <si>
    <t xml:space="preserve">suggestion::refactoring::(inline::temp::method)</t>
  </si>
  <si>
    <t xml:space="preserve">suggestion::refactoring::(introduce::parameter::object)</t>
  </si>
  <si>
    <t xml:space="preserve">suggestion::refactoring::(merge::methods)</t>
  </si>
  <si>
    <t xml:space="preserve">suggestion::refactoring::(move::logic:.config)</t>
  </si>
  <si>
    <t xml:space="preserve">suggestion::refactoring::(move::logic::creation::module)</t>
  </si>
  <si>
    <t xml:space="preserve">suggestion::refactoring::(move::logic::parent::class::instead::of::sub::classes)</t>
  </si>
  <si>
    <t xml:space="preserve">suggestion::refactoring::(not::access::the::raw::key)</t>
  </si>
  <si>
    <t xml:space="preserve">suggestion::refactoring::(not::use::mock::object)</t>
  </si>
  <si>
    <t xml:space="preserve">suggestion::refactoring::(refactoring::extract::classes)</t>
  </si>
  <si>
    <t xml:space="preserve">suggestion::refactoring::(removing::commented:.code)</t>
  </si>
  <si>
    <t xml:space="preserve">suggestion::refactoring::(removing::unnecessary::code)::with::code</t>
  </si>
  <si>
    <t xml:space="preserve">suggestion::refactoring::(replace::context::with::decorator)</t>
  </si>
  <si>
    <t xml:space="preserve">suggestion::refactoring::(simpler::code)::with::code</t>
  </si>
  <si>
    <t xml:space="preserve">suggestion::refactoring::(split::method::test)</t>
  </si>
  <si>
    <t xml:space="preserve">suggestion::refactoring::(style)::what::to::import</t>
  </si>
  <si>
    <t xml:space="preserve">suggestion::refactoring::(style::add::nqa::if::needed)</t>
  </si>
  <si>
    <t xml:space="preserve">suggestion::refactoring::(style::avoid::errors::from::ducktyping)::with::code</t>
  </si>
  <si>
    <t xml:space="preserve">suggestion::refactoring::(style::comparison::operators)</t>
  </si>
  <si>
    <t xml:space="preserve">suggestion::refactoring::(style::removing::unnecessary::newline)</t>
  </si>
  <si>
    <t xml:space="preserve">suggestion::refactoring::(type::exception)</t>
  </si>
  <si>
    <t xml:space="preserve">suggestion::refactoring::(use::context)</t>
  </si>
  <si>
    <t xml:space="preserve">suggestion::refactoring::(use::decorator)::with::code</t>
  </si>
  <si>
    <t xml:space="preserve">suggestion::refactoring::(use::loop)</t>
  </si>
  <si>
    <t xml:space="preserve">suggestion::refactoring::(use::mox::object)</t>
  </si>
  <si>
    <t xml:space="preserve">suggestion::refactoring::(using::another::existing::method)</t>
  </si>
  <si>
    <t xml:space="preserve">suggestion::refactoring::(using::another::existing::method)::speed::vs::abstraction</t>
  </si>
  <si>
    <t xml:space="preserve">suggestion::refactoring::(using::another::existing::object)</t>
  </si>
  <si>
    <t xml:space="preserve">suggestion::refactoring::(variable)</t>
  </si>
  <si>
    <t xml:space="preserve">suggestion::some::missing::changes::(changes::related::to::the::change)</t>
  </si>
  <si>
    <t xml:space="preserve">suggestion::style::change</t>
  </si>
  <si>
    <t xml:space="preserve">suggestion::style::change::(commit::message::clearness)</t>
  </si>
  <si>
    <t xml:space="preserve">suggestion::to::change::the::change::from::BP::to::a::bug::fix</t>
  </si>
  <si>
    <t xml:space="preserve">summary::of::the::patch::sets</t>
  </si>
  <si>
    <t xml:space="preserve">support::clarification::about::code::(a::different::approach::than::existing::one)</t>
  </si>
  <si>
    <t xml:space="preserve">support::objecting::suggestion::change::(design::extension)</t>
  </si>
  <si>
    <t xml:space="preserve">support::objecting::suggestion::change::(wrong::logic)*</t>
  </si>
  <si>
    <t xml:space="preserve">support::providing::clarification::about::code::(need::of::config::parameters)</t>
  </si>
  <si>
    <t xml:space="preserve">support::suggestion::change::(add::functionallity)</t>
  </si>
  <si>
    <t xml:space="preserve">support::suggestion::change::(design::extension)</t>
  </si>
  <si>
    <t xml:space="preserve">support::suggestion::change::(wrong::logic)*</t>
  </si>
  <si>
    <t xml:space="preserve">support::suggestion::refactoring::(how::often::log)</t>
  </si>
  <si>
    <t xml:space="preserve">support::suggestion::refactoring::(move::logic::parent::class::instead::of::sub::classes)</t>
  </si>
  <si>
    <t xml:space="preserve">support::suggestion::refactoring::(simpler::code)::with::code</t>
  </si>
  <si>
    <t xml:space="preserve">supporting::objecting::suggestion::change::(move::logic)</t>
  </si>
  <si>
    <t xml:space="preserve">test::implications</t>
  </si>
  <si>
    <t xml:space="preserve">use::of::acronyms::(e.g.,::ditto::same::as::above):.to::repeat::comment</t>
  </si>
  <si>
    <t xml:space="preserve">wait::for::submitting::until::new::features::use::the::change</t>
  </si>
  <si>
    <t xml:space="preserve">wait::until::CI::(e.g.,Xenserver)::pass:.(green)::before::approval</t>
  </si>
  <si>
    <t xml:space="preserve">who::signed::it::off</t>
  </si>
  <si>
    <t xml:space="preserve">discussing::impact::of::solution::(documentation)</t>
  </si>
  <si>
    <t xml:space="preserve">discussing::impact::of::solution::(api)</t>
  </si>
  <si>
    <t xml:space="preserve">discussing::impact::of::solution::(security)</t>
  </si>
  <si>
    <t xml:space="preserve">not::approval::for::submitting::(with::reasons)</t>
  </si>
  <si>
    <t xml:space="preserve">not::approval::for::submitting::core::rev</t>
  </si>
  <si>
    <t xml:space="preserve">not::approval::for::submitting::core::rev::(vote)</t>
  </si>
  <si>
    <t xml:space="preserve">approval::for::submitting::granted::(non::final)</t>
  </si>
  <si>
    <t xml:space="preserve">approval::for::submitting::granted::(non::final)::(vote)</t>
  </si>
  <si>
    <t xml:space="preserve">approval::for::submitting::granted::(non::final)::core::rev</t>
  </si>
  <si>
    <t xml:space="preserve">approval::for::submitting::granted::(lgtm)</t>
  </si>
  <si>
    <t xml:space="preserve">approval::for::submitting::granted::(non::final)::core::rev::(vote)</t>
  </si>
  <si>
    <t xml:space="preserve">approval::for::submitting::granted::(final)::core::rev::(vote)</t>
  </si>
  <si>
    <t xml:space="preserve">approval::for::workflow</t>
  </si>
  <si>
    <t xml:space="preserve">approval::for::workflow::(final)::(vote)</t>
  </si>
  <si>
    <t xml:space="preserve">approval::for::workflow::(non::final)::(vote)</t>
  </si>
  <si>
    <t xml:space="preserve">approval::for::workflow::(non::final)::core::rev::(vote)</t>
  </si>
  <si>
    <t xml:space="preserve">approval::for::workflow::(final)::core::rev::(vote)</t>
  </si>
  <si>
    <t xml:space="preserve">not::approval::workflow::(vote)</t>
  </si>
  <si>
    <t xml:space="preserve">submission::blockend::core::rev::(vote)</t>
  </si>
  <si>
    <t xml:space="preserve">approval::for::submitting::granted::(final)::(vote)</t>
  </si>
  <si>
    <t xml:space="preserve">application_requesting::(configuration)</t>
  </si>
  <si>
    <t xml:space="preserve">application_discussing::(configuration)</t>
  </si>
  <si>
    <t xml:space="preserve">CHANGE: a change to be made next, that is requestinged or discussed </t>
  </si>
  <si>
    <t xml:space="preserve">change_informing::(!!todo::missing::topic!!)</t>
  </si>
  <si>
    <t xml:space="preserve">change_discussing::(!!todo::missing::topic!!)</t>
  </si>
  <si>
    <t xml:space="preserve">change_discussing::(cleaner::code)</t>
  </si>
  <si>
    <t xml:space="preserve">change_requesting::(cleaner::code)</t>
  </si>
  <si>
    <t xml:space="preserve">change_discussing::(config)</t>
  </si>
  <si>
    <t xml:space="preserve">change_discussing::(debugging::and::logging)</t>
  </si>
  <si>
    <t xml:space="preserve">change_requesting::(debugging::and::logging)</t>
  </si>
  <si>
    <t xml:space="preserve">change_requesting::(dependencies)</t>
  </si>
  <si>
    <t xml:space="preserve">change_discussing::(dependency)</t>
  </si>
  <si>
    <t xml:space="preserve">change_discussing::(documentation)</t>
  </si>
  <si>
    <t xml:space="preserve">change_informing::(documentation)</t>
  </si>
  <si>
    <t xml:space="preserve">change_requesting::(failure::prevention)</t>
  </si>
  <si>
    <t xml:space="preserve">change_discussing::(failure::prevention)</t>
  </si>
  <si>
    <t xml:space="preserve">change_requesting::(functionality)</t>
  </si>
  <si>
    <t xml:space="preserve">change_discussing::(functionality)</t>
  </si>
  <si>
    <t xml:space="preserve">change_informing::(functionality)</t>
  </si>
  <si>
    <t xml:space="preserve">change_discussing::(implementation::logic)</t>
  </si>
  <si>
    <t xml:space="preserve">change_requesting::(implementation::logic)</t>
  </si>
  <si>
    <t xml:space="preserve">change_discussing::(maintainability::and::compatibility)</t>
  </si>
  <si>
    <t xml:space="preserve">change_discussing::(re::use::structures)</t>
  </si>
  <si>
    <t xml:space="preserve">change_requesting::(re::use::structures)</t>
  </si>
  <si>
    <t xml:space="preserve">change_discussing::(remove::unused::structures)</t>
  </si>
  <si>
    <t xml:space="preserve">change_requesting::(remove::unused::structures)</t>
  </si>
  <si>
    <t xml:space="preserve">change_discussing::(reversing::changes)</t>
  </si>
  <si>
    <t xml:space="preserve">change_requesting::(reversing::changes)</t>
  </si>
  <si>
    <t xml:space="preserve">change_informing::(reversing::changes)</t>
  </si>
  <si>
    <t xml:space="preserve">change_requesting::(security)</t>
  </si>
  <si>
    <t xml:space="preserve">change_discussing::(storage::and::external::services)</t>
  </si>
  <si>
    <t xml:space="preserve">change_requesting::(storage::and::external::services)</t>
  </si>
  <si>
    <t xml:space="preserve">change_discussing::(structures::and::architecture)</t>
  </si>
  <si>
    <t xml:space="preserve">change_requesting::(structures::and::architecture)</t>
  </si>
  <si>
    <t xml:space="preserve">change_discussing::(tests)</t>
  </si>
  <si>
    <t xml:space="preserve">change_informing::(tests)</t>
  </si>
  <si>
    <t xml:space="preserve">change_discussing::(versioning)</t>
  </si>
  <si>
    <t xml:space="preserve">change_requesting::(versioning)</t>
  </si>
  <si>
    <t xml:space="preserve">change_requesting::(!!todo::topic::missing!!)</t>
  </si>
  <si>
    <t xml:space="preserve">change_informing::(!!todo::topic::missing!!)</t>
  </si>
  <si>
    <t xml:space="preserve">CODE: source code that resulted from previous changes</t>
  </si>
  <si>
    <t xml:space="preserve">code_discussing::(!!todo::missing::topic!!)</t>
  </si>
  <si>
    <t xml:space="preserve">code_requesting::(cleaner::code)</t>
  </si>
  <si>
    <t xml:space="preserve">code_informing::(cleaner::code)</t>
  </si>
  <si>
    <t xml:space="preserve">code_discussing::(cleaner::code)</t>
  </si>
  <si>
    <t xml:space="preserve">code_requesting::(config)</t>
  </si>
  <si>
    <t xml:space="preserve">code_informing::(config)</t>
  </si>
  <si>
    <t xml:space="preserve">code_discussing::(config)</t>
  </si>
  <si>
    <t xml:space="preserve">code_requesting::(debugging::and::logging)</t>
  </si>
  <si>
    <t xml:space="preserve">code_informing::(debugging::and::logging)</t>
  </si>
  <si>
    <t xml:space="preserve">code_discussing::(dependencies)</t>
  </si>
  <si>
    <t xml:space="preserve">code_requesting::(dependencies)</t>
  </si>
  <si>
    <t xml:space="preserve">code_informing::(dependencies)</t>
  </si>
  <si>
    <t xml:space="preserve">code_requesting::(documentation)</t>
  </si>
  <si>
    <t xml:space="preserve">code_informing::(documentation)</t>
  </si>
  <si>
    <t xml:space="preserve">code_discussing::(failing::tests)</t>
  </si>
  <si>
    <t xml:space="preserve">code_requesting::(failure::prevention)</t>
  </si>
  <si>
    <t xml:space="preserve">code_informing::(failure::prevention)</t>
  </si>
  <si>
    <t xml:space="preserve">code_discussing::(failures)</t>
  </si>
  <si>
    <t xml:space="preserve">code_requesting::(functionality)</t>
  </si>
  <si>
    <t xml:space="preserve">code_discussing::(functionality)</t>
  </si>
  <si>
    <t xml:space="preserve">code_requesting::(implementation::logic)</t>
  </si>
  <si>
    <t xml:space="preserve">code_informing::(implementation::logic)</t>
  </si>
  <si>
    <t xml:space="preserve">code_discussing::(implementation::logic)</t>
  </si>
  <si>
    <t xml:space="preserve">code_requesting::(maintainability::and::compatibility)</t>
  </si>
  <si>
    <t xml:space="preserve">code_requesting::(performance)</t>
  </si>
  <si>
    <t xml:space="preserve">code_discussing::(performance)</t>
  </si>
  <si>
    <t xml:space="preserve">code_requesting::(remove::unused::structures)</t>
  </si>
  <si>
    <t xml:space="preserve">code_discussing::(security)</t>
  </si>
  <si>
    <t xml:space="preserve">code_requesting::(solution::design)</t>
  </si>
  <si>
    <t xml:space="preserve">code_discussing::(solution::design)</t>
  </si>
  <si>
    <t xml:space="preserve">code_informing::(solution::design)</t>
  </si>
  <si>
    <t xml:space="preserve">code_requesting::(storage::and::external::services)</t>
  </si>
  <si>
    <t xml:space="preserve">code_requesting::(structures::and::architecture)</t>
  </si>
  <si>
    <t xml:space="preserve">code_discussing::(structures::and::architecture)</t>
  </si>
  <si>
    <t xml:space="preserve">code_informing::(structures::and::architecture)</t>
  </si>
  <si>
    <t xml:space="preserve">code_requesting::(tests)</t>
  </si>
  <si>
    <t xml:space="preserve">code_discussing::(tests)</t>
  </si>
  <si>
    <t xml:space="preserve">code_informing::(tests)</t>
  </si>
  <si>
    <t xml:space="preserve">code_requesting::(versioning)</t>
  </si>
  <si>
    <t xml:space="preserve">code_informing::(versioning)</t>
  </si>
  <si>
    <t xml:space="preserve">code_discussing::(!!todo::topic::missing!!)</t>
  </si>
  <si>
    <t xml:space="preserve">code_informing::(!!todo::topic::missing!!)</t>
  </si>
  <si>
    <t xml:space="preserve">code_requesting::(!!todo::topic::missing!!)</t>
  </si>
  <si>
    <t xml:space="preserve">DEVELOPMENT::PROCESS: processes around changes and code, like updates to the review or issues</t>
  </si>
  <si>
    <t xml:space="preserve">development::process_discussing::(complaints)</t>
  </si>
  <si>
    <t xml:space="preserve">development::process_requesting::(documentation)</t>
  </si>
  <si>
    <t xml:space="preserve">development::process_informing::(documentation)</t>
  </si>
  <si>
    <t xml:space="preserve">development::process_discussing::(FFE::deadline)</t>
  </si>
  <si>
    <t xml:space="preserve">development::process_discussing::(FFE::expired)</t>
  </si>
  <si>
    <t xml:space="preserve">development::process_discussing::(FFE::requesting)</t>
  </si>
  <si>
    <t xml:space="preserve">development::process_requesting::(intendend::process)</t>
  </si>
  <si>
    <t xml:space="preserve">development::process_requesting::(rebase)</t>
  </si>
  <si>
    <t xml:space="preserve">development::process_discussing::(rebase)</t>
  </si>
  <si>
    <t xml:space="preserve">development::process_informing::(review::comments::added)</t>
  </si>
  <si>
    <t xml:space="preserve">development::process_informing::(review::comments::addressed)</t>
  </si>
  <si>
    <t xml:space="preserve">development::process_informing::(review::comments::not::addressed)</t>
  </si>
  <si>
    <t xml:space="preserve">development::process_discussing::(review::comments::not::addressed)</t>
  </si>
  <si>
    <t xml:space="preserve">development::process_informing::(related::review)</t>
  </si>
  <si>
    <t xml:space="preserve">development::process_discussing::(related::issue)</t>
  </si>
  <si>
    <t xml:space="preserve">development::process_requesting::(related::issues)</t>
  </si>
  <si>
    <t xml:space="preserve">development::process_discussing::(current::development::cycle)</t>
  </si>
  <si>
    <t xml:space="preserve">development::process_informing::(lost::progress)</t>
  </si>
  <si>
    <t xml:space="preserve">development::process_informing::(notify::other::discussants)</t>
  </si>
  <si>
    <t xml:space="preserve">development::process_informing::(dev::setup)</t>
  </si>
  <si>
    <t xml:space="preserve">development::process_informing::(issue::purpose)</t>
  </si>
  <si>
    <t xml:space="preserve">development::process_informing::(developer::profile)</t>
  </si>
  <si>
    <t xml:space="preserve">REFACTORING: non logic changing changes, requestinged or discussed. Stronger alligned with the "change" category than with the "code" category</t>
  </si>
  <si>
    <t xml:space="preserve">refactoring_requesting::(optional)</t>
  </si>
  <si>
    <t xml:space="preserve">refactoring_discussing::(optional)</t>
  </si>
  <si>
    <t xml:space="preserve">refactoring_informing::(optional)</t>
  </si>
  <si>
    <t xml:space="preserve">refactoring_discussing::(scope)</t>
  </si>
  <si>
    <t xml:space="preserve">refactoring_informing::(cleaner::code)</t>
  </si>
  <si>
    <t xml:space="preserve">refactoring_discussing::(performance)</t>
  </si>
  <si>
    <t xml:space="preserve">refactoring_requesting::(performance)</t>
  </si>
  <si>
    <t xml:space="preserve">refactoring_requesting::(re::use::structures)</t>
  </si>
  <si>
    <t xml:space="preserve">refactoring_discussing::(re::use::structures)</t>
  </si>
  <si>
    <t xml:space="preserve">refactoring_discussing::(remove::unused::structures)</t>
  </si>
  <si>
    <t xml:space="preserve">refactoring_requesting::(remove::unused::structures)</t>
  </si>
  <si>
    <t xml:space="preserve">refactoring_discussing::(simplify::structures)</t>
  </si>
  <si>
    <t xml:space="preserve">refactoring_requesting::(simplify::structures)</t>
  </si>
  <si>
    <t xml:space="preserve">refactoring_informing::(simplify::structures)</t>
  </si>
  <si>
    <t xml:space="preserve">refactoring_discussing::(style)</t>
  </si>
  <si>
    <t xml:space="preserve">refactoring_requesting::(style)</t>
  </si>
  <si>
    <t xml:space="preserve">refactoring_informing::(style)</t>
  </si>
  <si>
    <t xml:space="preserve">refactoring_requesting::(test)</t>
  </si>
  <si>
    <t xml:space="preserve">refactoring_requesting::(!!todo::topic::missing!!)</t>
  </si>
  <si>
    <t xml:space="preserve">development::process_informing::(error)</t>
  </si>
  <si>
    <t xml:space="preserve">development::process_requesting::(recheck::CI)</t>
  </si>
  <si>
    <t xml:space="preserve">development::process_requesting::(!!todo::missing::topic!!)</t>
  </si>
  <si>
    <t xml:space="preserve">development::process_requesting::(debugging::and::logging)</t>
  </si>
  <si>
    <t xml:space="preserve">development::process_informing::(reason)</t>
  </si>
  <si>
    <t xml:space="preserve">TESTING: the execution of tests, not the test code</t>
  </si>
  <si>
    <t xml:space="preserve">development::process_informing::(test::execution)</t>
  </si>
  <si>
    <t xml:space="preserve">development::process_discussing::(test::execution)</t>
  </si>
  <si>
    <t xml:space="preserve">development::process_informing::(test::passing)</t>
  </si>
  <si>
    <t xml:space="preserve">development::process_informing::(test::error)</t>
  </si>
  <si>
    <t xml:space="preserve">development::process_discussing::(test::setup)</t>
  </si>
  <si>
    <t xml:space="preserve">development::process_discussing::(test::error)</t>
  </si>
  <si>
    <t xml:space="preserve">development::process_informing::(test::results)</t>
  </si>
  <si>
    <t xml:space="preserve">development::process_informing::(test::run::manual)</t>
  </si>
  <si>
    <t xml:space="preserve">development::process_requesting::(test::error)</t>
  </si>
  <si>
    <t xml:space="preserve">development::process_requesting::(run::ci)</t>
  </si>
  <si>
    <t xml:space="preserve">development::process_requesting::(manual::testing)</t>
  </si>
  <si>
    <t xml:space="preserve">BUGS: does not relate to a specific bug, like the bug for which this is the review, but bugs fount along the line</t>
  </si>
  <si>
    <t xml:space="preserve">development::process_informing::(known::bugs)</t>
  </si>
  <si>
    <t xml:space="preserve">development::process_informing::(new::bugs)</t>
  </si>
  <si>
    <t xml:space="preserve">development::process_requesting::(recheck::known::bugs)</t>
  </si>
  <si>
    <t xml:space="preserve">development::process_informing::(no::bugs::found)</t>
  </si>
  <si>
    <t xml:space="preserve">linting_requesting::(recheck::pylint)</t>
  </si>
  <si>
    <t xml:space="preserve">__merge::with::category__requesting</t>
  </si>
  <si>
    <t xml:space="preserve">__merge::with::category__requesting::(debugging::and::logging)</t>
  </si>
  <si>
    <t xml:space="preserve">__merge::with::category__requesting::(implementation::logic)</t>
  </si>
  <si>
    <t xml:space="preserve">__merge::with::category__requesting::(testing)</t>
  </si>
  <si>
    <t xml:space="preserve">requesting::solution::design_requesting::(!!todo::topic::missing!!)</t>
  </si>
  <si>
    <t xml:space="preserve">(!!todo::target::missing!!)_requesting::(!!todo::topic::missing!!)</t>
  </si>
  <si>
    <t xml:space="preserve">best::practice_requesting::(logic)</t>
  </si>
  <si>
    <t xml:space="preserve">best::practice_requesting::(style)</t>
  </si>
  <si>
    <t xml:space="preserve">best::practice_requesting::(versioning)</t>
  </si>
  <si>
    <t xml:space="preserve">best::practice_discussing::(bad::practice)</t>
  </si>
  <si>
    <t xml:space="preserve">best::practice_informing::(bad::practice)</t>
  </si>
  <si>
    <t xml:space="preserve">best::practice_informing::(style)</t>
  </si>
  <si>
    <t xml:space="preserve">best::practice_informing::(versioning)</t>
  </si>
  <si>
    <t xml:space="preserve">best::practice_informing::(!!todo::topic::missing!!)</t>
  </si>
  <si>
    <t xml:space="preserve">expressing::gratitude</t>
  </si>
  <si>
    <t xml:space="preserve">ref::comment</t>
  </si>
  <si>
    <t xml:space="preserve">ref::external::documentation</t>
  </si>
  <si>
    <t xml:space="preserve">ref::code::(external)</t>
  </si>
  <si>
    <t xml:space="preserve">ref::code</t>
  </si>
  <si>
    <t xml:space="preserve">ref::logs</t>
  </si>
  <si>
    <t xml:space="preserve">ref::other::discussings::sources</t>
  </si>
  <si>
    <t xml:space="preserve">not::providing::assistance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</si>
</sst>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rgb="FF000000"/>
      <name val="Docs-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FE599"/>
      </patternFill>
    </fill>
    <fill>
      <patternFill patternType="solid">
        <fgColor rgb="FF93C47D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C27BA0"/>
        <bgColor rgb="FFFF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E599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3.63"/>
    <col collapsed="false" customWidth="true" hidden="false" outlineLevel="0" max="2" min="2" style="0" width="7"/>
    <col collapsed="false" customWidth="true" hidden="false" outlineLevel="0" max="3" min="3" style="0" width="59.89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6</v>
      </c>
      <c r="B2" s="3" t="str">
        <f aca="false">IF(COUNTIF(Final_CB_F5_V5!$B$2:$B$596,A2)&gt;=1,"YES","NO")</f>
        <v>YES</v>
      </c>
      <c r="C2" s="3" t="s">
        <v>6</v>
      </c>
      <c r="D2" s="3" t="str">
        <f aca="false">IF(COUNTIF(Final_CB_F5_V5!$C$2:$C$596,C2)&gt;=1,"YES","NO")</f>
        <v>YES</v>
      </c>
      <c r="F2" s="4" t="str">
        <f aca="false">IFERROR(__xludf.dummyfunction("filter(A2:A700, MATCH(A2:A700, C2:C700, FALSE))"),"addition::of::performance::tests")</f>
        <v>addition::of::performance::tests</v>
      </c>
      <c r="G2" s="4" t="str">
        <f aca="false">IFERROR(__xludf.dummyfunction("filter(A2:A700,iserror(MATCH(A2:A700, C2:C700, FALSE)))"),"also::required::on::other::branch")</f>
        <v>also::required::on::other::branch</v>
      </c>
      <c r="H2" s="4" t="str">
        <f aca="false">IFERROR(__xludf.dummyfunction("filter(C2:C700,ISERROR(MATCH(C2:C700, A2:A700, FALSE)))"),"addition::of::tests")</f>
        <v>addition::of::tests</v>
      </c>
    </row>
    <row r="3" customFormat="false" ht="15.75" hidden="false" customHeight="false" outlineLevel="0" collapsed="false">
      <c r="A3" s="3" t="s">
        <v>7</v>
      </c>
      <c r="B3" s="3" t="str">
        <f aca="false">IF(COUNTIF(Final_CB_F5_V5!$B$2:$B$596,A3)&gt;=1,"YES","NO")</f>
        <v>YES</v>
      </c>
      <c r="C3" s="3" t="s">
        <v>8</v>
      </c>
      <c r="D3" s="3" t="str">
        <f aca="false">IF(COUNTIF(Final_CB_F5_V5!$C$2:$C$596,C3)&gt;=1,"YES","NO")</f>
        <v>YES</v>
      </c>
      <c r="F3" s="4" t="str">
        <f aca="false">IFERROR(__xludf.dummyfunction("""COMPUTED_VALUE"""),"agreeing::possible::solution")</f>
        <v>agreeing::possible::solution</v>
      </c>
      <c r="G3" s="4" t="str">
        <f aca="false">IFERROR(__xludf.dummyfunction("""COMPUTED_VALUE"""),"also::required::on::other::branch::(link::review)")</f>
        <v>also::required::on::other::branch::(link::review)</v>
      </c>
      <c r="H3" s="4" t="str">
        <f aca="false">IFERROR(__xludf.dummyfunction("""COMPUTED_VALUE"""),"agreeing::possible::solution::(code::in::text)")</f>
        <v>agreeing::possible::solution::(code::in::text)</v>
      </c>
    </row>
    <row r="4" customFormat="false" ht="15.75" hidden="false" customHeight="false" outlineLevel="0" collapsed="false">
      <c r="A4" s="3" t="s">
        <v>9</v>
      </c>
      <c r="B4" s="3" t="str">
        <f aca="false">IF(COUNTIF(Final_CB_F5_V5!$B$2:$B$596,A4)&gt;=1,"YES","NO")</f>
        <v>YES</v>
      </c>
      <c r="C4" s="3" t="s">
        <v>7</v>
      </c>
      <c r="D4" s="3" t="str">
        <f aca="false">IF(COUNTIF(Final_CB_F5_V5!$C$2:$C$596,C4)&gt;=1,"YES","NO")</f>
        <v>YES</v>
      </c>
      <c r="F4" s="4" t="str">
        <f aca="false">IFERROR(__xludf.dummyfunction("""COMPUTED_VALUE"""),"ask::for::testing::of::the::proposed::changed")</f>
        <v>ask::for::testing::of::the::proposed::changed</v>
      </c>
      <c r="G4" s="4" t="str">
        <f aca="false">IFERROR(__xludf.dummyfunction("""COMPUTED_VALUE"""),"alternate::solution::to::fix")</f>
        <v>alternate::solution::to::fix</v>
      </c>
      <c r="H4" s="4" t="str">
        <f aca="false">IFERROR(__xludf.dummyfunction("""COMPUTED_VALUE"""),"aknowledging::that:previous::fixes::helped::but::still:.a::bug")</f>
        <v>aknowledging::that:previous::fixes::helped::but::still:.a::bug</v>
      </c>
    </row>
    <row r="5" customFormat="false" ht="15.75" hidden="false" customHeight="false" outlineLevel="0" collapsed="false">
      <c r="A5" s="3" t="s">
        <v>10</v>
      </c>
      <c r="B5" s="3" t="str">
        <f aca="false">IF(COUNTIF(Final_CB_F5_V5!$B$2:$B$596,A5)&gt;=1,"YES","NO")</f>
        <v>YES</v>
      </c>
      <c r="C5" s="3" t="s">
        <v>11</v>
      </c>
      <c r="D5" s="3" t="str">
        <f aca="false">IF(COUNTIF(Final_CB_F5_V5!$C$2:$C$596,C5)&gt;=1,"YES","NO")</f>
        <v>YES</v>
      </c>
      <c r="F5" s="4" t="str">
        <f aca="false">IFERROR(__xludf.dummyfunction("""COMPUTED_VALUE"""),"asking::for::clarification::about::when::the::bug::is::present")</f>
        <v>asking::for::clarification::about::when::the::bug::is::present</v>
      </c>
      <c r="G5" s="4" t="str">
        <f aca="false">IFERROR(__xludf.dummyfunction("""COMPUTED_VALUE"""),"asking::for::clarification::(culprit::regression)")</f>
        <v>asking::for::clarification::(culprit::regression)</v>
      </c>
      <c r="H5" s="4" t="str">
        <f aca="false">IFERROR(__xludf.dummyfunction("""COMPUTED_VALUE"""),"asking::clarification::about::details::on::the::involved::hardware")</f>
        <v>asking::clarification::about::details::on::the::involved::hardware</v>
      </c>
    </row>
    <row r="6" customFormat="false" ht="15.75" hidden="false" customHeight="false" outlineLevel="0" collapsed="false">
      <c r="A6" s="3" t="s">
        <v>12</v>
      </c>
      <c r="B6" s="3" t="str">
        <f aca="false">IF(COUNTIF(Final_CB_F5_V5!$B$2:$B$596,A6)&gt;=1,"YES","NO")</f>
        <v>YES</v>
      </c>
      <c r="C6" s="3" t="s">
        <v>13</v>
      </c>
      <c r="D6" s="3" t="str">
        <f aca="false">IF(COUNTIF(Final_CB_F5_V5!$C$2:$C$596,C6)&gt;=1,"YES","NO")</f>
        <v>YES</v>
      </c>
      <c r="F6" s="4" t="str">
        <f aca="false">IFERROR(__xludf.dummyfunction("""COMPUTED_VALUE"""),"asking::for::clarification::status::release")</f>
        <v>asking::for::clarification::status::release</v>
      </c>
      <c r="G6" s="4" t="str">
        <f aca="false">IFERROR(__xludf.dummyfunction("""COMPUTED_VALUE"""),"asking::for::clarification::expected::behaviour")</f>
        <v>asking::for::clarification::expected::behaviour</v>
      </c>
      <c r="H6" s="4" t="str">
        <f aca="false">IFERROR(__xludf.dummyfunction("""COMPUTED_VALUE"""),"asking::clarification::about::the::development::process::(releasing::time)")</f>
        <v>asking::clarification::about::the::development::process::(releasing::time)</v>
      </c>
    </row>
    <row r="7" customFormat="false" ht="15.75" hidden="false" customHeight="false" outlineLevel="0" collapsed="false">
      <c r="A7" s="3" t="s">
        <v>14</v>
      </c>
      <c r="B7" s="3" t="str">
        <f aca="false">IF(COUNTIF(Final_CB_F5_V5!$B$2:$B$596,A7)&gt;=1,"YES","NO")</f>
        <v>YES</v>
      </c>
      <c r="C7" s="3" t="s">
        <v>14</v>
      </c>
      <c r="D7" s="3" t="str">
        <f aca="false">IF(COUNTIF(Final_CB_F5_V5!$C$2:$C$596,C7)&gt;=1,"YES","NO")</f>
        <v>YES</v>
      </c>
      <c r="F7" s="4" t="str">
        <f aca="false">IFERROR(__xludf.dummyfunction("""COMPUTED_VALUE"""),"asking::for::examples::when::bug::is::present")</f>
        <v>asking::for::examples::when::bug::is::present</v>
      </c>
      <c r="G7" s="4" t="str">
        <f aca="false">IFERROR(__xludf.dummyfunction("""COMPUTED_VALUE"""),"asking::for::steps::to::replicate::the::bug")</f>
        <v>asking::for::steps::to::replicate::the::bug</v>
      </c>
      <c r="H7" s="4" t="str">
        <f aca="false">IFERROR(__xludf.dummyfunction("""COMPUTED_VALUE"""),"asking::for::clarification::about::possible::fix")</f>
        <v>asking::for::clarification::about::possible::fix</v>
      </c>
    </row>
    <row r="8" customFormat="false" ht="15.75" hidden="false" customHeight="false" outlineLevel="0" collapsed="false">
      <c r="A8" s="3" t="s">
        <v>15</v>
      </c>
      <c r="B8" s="3" t="str">
        <f aca="false">IF(COUNTIF(Final_CB_F5_V5!$B$2:$B$596,A8)&gt;=1,"YES","NO")</f>
        <v>YES</v>
      </c>
      <c r="C8" s="3" t="s">
        <v>16</v>
      </c>
      <c r="D8" s="3" t="str">
        <f aca="false">IF(COUNTIF(Final_CB_F5_V5!$C$2:$C$596,C8)&gt;=1,"YES","NO")</f>
        <v>YES</v>
      </c>
      <c r="F8" s="4" t="str">
        <f aca="false">IFERROR(__xludf.dummyfunction("""COMPUTED_VALUE"""),"asking::for::explanation::for::observed::behaviour")</f>
        <v>asking::for::explanation::for::observed::behaviour</v>
      </c>
      <c r="G8" s="4" t="str">
        <f aca="false">IFERROR(__xludf.dummyfunction("""COMPUTED_VALUE"""),"asking::to::verify::bug::not::present::(specific::version)")</f>
        <v>asking::to::verify::bug::not::present::(specific::version)</v>
      </c>
      <c r="H8" s="4" t="str">
        <f aca="false">IFERROR(__xludf.dummyfunction("""COMPUTED_VALUE"""),"asking::for::clarification::about::the::reason::of::regression::bug")</f>
        <v>asking::for::clarification::about::the::reason::of::regression::bug</v>
      </c>
    </row>
    <row r="9" customFormat="false" ht="15.75" hidden="false" customHeight="false" outlineLevel="0" collapsed="false">
      <c r="A9" s="3" t="s">
        <v>17</v>
      </c>
      <c r="B9" s="3" t="str">
        <f aca="false">IF(COUNTIF(Final_CB_F5_V5!$B$2:$B$596,A9)&gt;=1,"YES","NO")</f>
        <v>YES</v>
      </c>
      <c r="C9" s="3" t="s">
        <v>18</v>
      </c>
      <c r="D9" s="3" t="str">
        <f aca="false">IF(COUNTIF(Final_CB_F5_V5!$C$2:$C$596,C9)&gt;=1,"YES","NO")</f>
        <v>YES</v>
      </c>
      <c r="F9" s="4" t="str">
        <f aca="false">IFERROR(__xludf.dummyfunction("""COMPUTED_VALUE"""),"asking::for::status::of::issue")</f>
        <v>asking::for::status::of::issue</v>
      </c>
      <c r="G9" s="4" t="str">
        <f aca="false">IFERROR(__xludf.dummyfunction("""COMPUTED_VALUE"""),"assesment::effort")</f>
        <v>assesment::effort</v>
      </c>
      <c r="H9" s="4" t="str">
        <f aca="false">IFERROR(__xludf.dummyfunction("""COMPUTED_VALUE"""),"asking::for::replicating::the::bug")</f>
        <v>asking::for::replicating::the::bug</v>
      </c>
    </row>
    <row r="10" customFormat="false" ht="15.75" hidden="false" customHeight="false" outlineLevel="0" collapsed="false">
      <c r="A10" s="3" t="s">
        <v>19</v>
      </c>
      <c r="B10" s="3" t="str">
        <f aca="false">IF(COUNTIF(Final_CB_F5_V5!$B$2:$B$596,A10)&gt;=1,"YES","NO")</f>
        <v>YES</v>
      </c>
      <c r="C10" s="3" t="s">
        <v>20</v>
      </c>
      <c r="D10" s="3" t="str">
        <f aca="false">IF(COUNTIF(Final_CB_F5_V5!$C$2:$C$596,C10)&gt;=1,"YES","NO")</f>
        <v>YES</v>
      </c>
      <c r="F10" s="4" t="str">
        <f aca="false">IFERROR(__xludf.dummyfunction("""COMPUTED_VALUE"""),"asking::version::of::elasticsearch:::in::which::the::bug::was::found")</f>
        <v>asking::version::of::elasticsearch:::in::which::the::bug::was::found</v>
      </c>
      <c r="G10" s="4" t="str">
        <f aca="false">IFERROR(__xludf.dummyfunction("""COMPUTED_VALUE"""),"assesment::effort::(non::trivial)")</f>
        <v>assesment::effort::(non::trivial)</v>
      </c>
      <c r="H10" s="4" t="str">
        <f aca="false">IFERROR(__xludf.dummyfunction("""COMPUTED_VALUE"""),"bugs::related::affected::by::similar::errors")</f>
        <v>bugs::related::affected::by::similar::errors</v>
      </c>
    </row>
    <row r="11" customFormat="false" ht="15.75" hidden="false" customHeight="false" outlineLevel="0" collapsed="false">
      <c r="A11" s="3" t="s">
        <v>21</v>
      </c>
      <c r="B11" s="3" t="str">
        <f aca="false">IF(COUNTIF(Final_CB_F5_V5!$B$2:$B$596,A11)&gt;=1,"YES","NO")</f>
        <v>YES</v>
      </c>
      <c r="C11" s="3" t="s">
        <v>22</v>
      </c>
      <c r="D11" s="3" t="str">
        <f aca="false">IF(COUNTIF(Final_CB_F5_V5!$C$2:$C$596,C11)&gt;=1,"YES","NO")</f>
        <v>YES</v>
      </c>
      <c r="F11" s="4" t="str">
        <f aca="false">IFERROR(__xludf.dummyfunction("""COMPUTED_VALUE"""),"asking::version::of::nova:::in::which::the::bug::was::found")</f>
        <v>asking::version::of::nova:::in::which::the::bug::was::found</v>
      </c>
      <c r="G11" s="4" t="str">
        <f aca="false">IFERROR(__xludf.dummyfunction("""COMPUTED_VALUE"""),"bug::in::unused::feature")</f>
        <v>bug::in::unused::feature</v>
      </c>
      <c r="H11" s="4" t="str">
        <f aca="false">IFERROR(__xludf.dummyfunction("""COMPUTED_VALUE"""),"change::abandoned::by::the::one::who::proposed::changes")</f>
        <v>change::abandoned::by::the::one::who::proposed::changes</v>
      </c>
    </row>
    <row r="12" customFormat="false" ht="15.75" hidden="false" customHeight="false" outlineLevel="0" collapsed="false">
      <c r="A12" s="3" t="s">
        <v>23</v>
      </c>
      <c r="B12" s="3" t="str">
        <f aca="false">IF(COUNTIF(Final_CB_F5_V5!$B$2:$B$596,A12)&gt;=1,"YES","NO")</f>
        <v>YES</v>
      </c>
      <c r="C12" s="3" t="s">
        <v>17</v>
      </c>
      <c r="D12" s="3" t="str">
        <f aca="false">IF(COUNTIF(Final_CB_F5_V5!$C$2:$C$596,C12)&gt;=1,"YES","NO")</f>
        <v>YES</v>
      </c>
      <c r="F12" s="4" t="str">
        <f aca="false">IFERROR(__xludf.dummyfunction("""COMPUTED_VALUE"""),"assignation::of::the::bug")</f>
        <v>assignation::of::the::bug</v>
      </c>
      <c r="G12" s="4" t="str">
        <f aca="false">IFERROR(__xludf.dummyfunction("""COMPUTED_VALUE"""),"cannot::provide::requested::information::(examples)")</f>
        <v>cannot::provide::requested::information::(examples)</v>
      </c>
      <c r="H12" s="4" t="str">
        <f aca="false">IFERROR(__xludf.dummyfunction("""COMPUTED_VALUE"""),"change::abandoned::by::the::unknown::not:.main::branch")</f>
        <v>change::abandoned::by::the::unknown::not:.main::branch</v>
      </c>
    </row>
    <row r="13" customFormat="false" ht="15.75" hidden="false" customHeight="false" outlineLevel="0" collapsed="false">
      <c r="A13" s="3" t="s">
        <v>24</v>
      </c>
      <c r="B13" s="3" t="str">
        <f aca="false">IF(COUNTIF(Final_CB_F5_V5!$B$2:$B$596,A13)&gt;=1,"YES","NO")</f>
        <v>YES</v>
      </c>
      <c r="C13" s="3" t="s">
        <v>21</v>
      </c>
      <c r="D13" s="3" t="str">
        <f aca="false">IF(COUNTIF(Final_CB_F5_V5!$C$2:$C$596,C13)&gt;=1,"YES","NO")</f>
        <v>YES</v>
      </c>
      <c r="F13" s="4" t="str">
        <f aca="false">IFERROR(__xludf.dummyfunction("""COMPUTED_VALUE"""),"bug::due::to::bad::testing")</f>
        <v>bug::due::to::bad::testing</v>
      </c>
      <c r="G13" s="4" t="str">
        <f aca="false">IFERROR(__xludf.dummyfunction("""COMPUTED_VALUE"""),"change::abandoned::by::the::responsible::(review1)")</f>
        <v>change::abandoned::by::the::responsible::(review1)</v>
      </c>
      <c r="H13" s="4" t="str">
        <f aca="false">IFERROR(__xludf.dummyfunction("""COMPUTED_VALUE"""),"change1::abandoned::by::the::responsible")</f>
        <v>change1::abandoned::by::the::responsible</v>
      </c>
    </row>
    <row r="14" customFormat="false" ht="15.75" hidden="false" customHeight="false" outlineLevel="0" collapsed="false">
      <c r="A14" s="3" t="s">
        <v>25</v>
      </c>
      <c r="B14" s="3" t="str">
        <f aca="false">IF(COUNTIF(Final_CB_F5_V5!$B$2:$B$596,A14)&gt;=1,"YES","NO")</f>
        <v>YES</v>
      </c>
      <c r="C14" s="3" t="s">
        <v>23</v>
      </c>
      <c r="D14" s="3" t="str">
        <f aca="false">IF(COUNTIF(Final_CB_F5_V5!$C$2:$C$596,C14)&gt;=1,"YES","NO")</f>
        <v>YES</v>
      </c>
      <c r="F14" s="4" t="str">
        <f aca="false">IFERROR(__xludf.dummyfunction("""COMPUTED_VALUE"""),"change::abandoned::by::the::responsible")</f>
        <v>change::abandoned::by::the::responsible</v>
      </c>
      <c r="G14" s="4" t="str">
        <f aca="false">IFERROR(__xludf.dummyfunction("""COMPUTED_VALUE"""),"change::abandoned::by::the::responsible::(review1)::not::main::branch")</f>
        <v>change::abandoned::by::the::responsible::(review1)::not::main::branch</v>
      </c>
      <c r="H14" s="4" t="str">
        <f aca="false">IFERROR(__xludf.dummyfunction("""COMPUTED_VALUE"""),"change2::abandoned::by::the::responsible")</f>
        <v>change2::abandoned::by::the::responsible</v>
      </c>
    </row>
    <row r="15" customFormat="false" ht="15.75" hidden="false" customHeight="false" outlineLevel="0" collapsed="false">
      <c r="A15" s="3" t="s">
        <v>26</v>
      </c>
      <c r="B15" s="3" t="str">
        <f aca="false">IF(COUNTIF(Final_CB_F5_V5!$B$2:$B$596,A15)&gt;=1,"YES","NO")</f>
        <v>YES</v>
      </c>
      <c r="C15" s="3" t="s">
        <v>24</v>
      </c>
      <c r="D15" s="3" t="str">
        <f aca="false">IF(COUNTIF(Final_CB_F5_V5!$C$2:$C$596,C15)&gt;=1,"YES","NO")</f>
        <v>YES</v>
      </c>
      <c r="F15" s="4" t="str">
        <f aca="false">IFERROR(__xludf.dummyfunction("""COMPUTED_VALUE"""),"change::abandoned::by::the::responsible::not::main::branch")</f>
        <v>change::abandoned::by::the::responsible::not::main::branch</v>
      </c>
      <c r="G15" s="4" t="str">
        <f aca="false">IFERROR(__xludf.dummyfunction("""COMPUTED_VALUE"""),"change::abandoned::by::the::responsible::(review2)")</f>
        <v>change::abandoned::by::the::responsible::(review2)</v>
      </c>
      <c r="H15" s="4" t="str">
        <f aca="false">IFERROR(__xludf.dummyfunction("""COMPUTED_VALUE"""),"changed::original::description::(link::to::original::description)")</f>
        <v>changed::original::description::(link::to::original::description)</v>
      </c>
    </row>
    <row r="16" customFormat="false" ht="15.75" hidden="false" customHeight="false" outlineLevel="0" collapsed="false">
      <c r="A16" s="3" t="s">
        <v>27</v>
      </c>
      <c r="B16" s="3" t="str">
        <f aca="false">IF(COUNTIF(Final_CB_F5_V5!$B$2:$B$596,A16)&gt;=1,"YES","NO")</f>
        <v>YES</v>
      </c>
      <c r="C16" s="3" t="s">
        <v>28</v>
      </c>
      <c r="D16" s="3" t="str">
        <f aca="false">IF(COUNTIF(Final_CB_F5_V5!$C$2:$C$596,C16)&gt;=1,"YES","NO")</f>
        <v>YES</v>
      </c>
      <c r="F16" s="4" t="str">
        <f aca="false">IFERROR(__xludf.dummyfunction("""COMPUTED_VALUE"""),"change::the::status::of::the::bug")</f>
        <v>change::the::status::of::the::bug</v>
      </c>
      <c r="G16" s="4" t="str">
        <f aca="false">IFERROR(__xludf.dummyfunction("""COMPUTED_VALUE"""),"change::abandoned::by::the::responsible::(review3)")</f>
        <v>change::abandoned::by::the::responsible::(review3)</v>
      </c>
      <c r="H16" s="4" t="str">
        <f aca="false">IFERROR(__xludf.dummyfunction("""COMPUTED_VALUE"""),"clarification::about::the::problem::identified::as::culprit::for::regression")</f>
        <v>clarification::about::the::problem::identified::as::culprit::for::regression</v>
      </c>
    </row>
    <row r="17" customFormat="false" ht="15.75" hidden="false" customHeight="false" outlineLevel="0" collapsed="false">
      <c r="A17" s="3" t="s">
        <v>29</v>
      </c>
      <c r="B17" s="3" t="str">
        <f aca="false">IF(COUNTIF(Final_CB_F5_V5!$B$2:$B$596,A17)&gt;=1,"YES","NO")</f>
        <v>YES</v>
      </c>
      <c r="C17" s="3" t="s">
        <v>25</v>
      </c>
      <c r="D17" s="3" t="str">
        <f aca="false">IF(COUNTIF(Final_CB_F5_V5!$C$2:$C$596,C17)&gt;=1,"YES","NO")</f>
        <v>YES</v>
      </c>
      <c r="F17" s="4" t="str">
        <f aca="false">IFERROR(__xludf.dummyfunction("""COMPUTED_VALUE"""),"clarification::about::the::development::process::(milestones)")</f>
        <v>clarification::about::the::development::process::(milestones)</v>
      </c>
      <c r="G17" s="4" t="str">
        <f aca="false">IFERROR(__xludf.dummyfunction("""COMPUTED_VALUE"""),"change::abandoned::by::the::responsible::(review5)::not::main::branch")</f>
        <v>change::abandoned::by::the::responsible::(review5)::not::main::branch</v>
      </c>
      <c r="H17" s="4" t="str">
        <f aca="false">IFERROR(__xludf.dummyfunction("""COMPUTED_VALUE"""),"clarification::about::the:.bug::source")</f>
        <v>clarification::about::the:.bug::source</v>
      </c>
    </row>
    <row r="18" customFormat="false" ht="15.75" hidden="false" customHeight="false" outlineLevel="0" collapsed="false">
      <c r="A18" s="3" t="s">
        <v>30</v>
      </c>
      <c r="B18" s="3" t="str">
        <f aca="false">IF(COUNTIF(Final_CB_F5_V5!$B$2:$B$596,A18)&gt;=1,"YES","NO")</f>
        <v>YES</v>
      </c>
      <c r="C18" s="3" t="s">
        <v>29</v>
      </c>
      <c r="D18" s="3" t="str">
        <f aca="false">IF(COUNTIF(Final_CB_F5_V5!$C$2:$C$596,C18)&gt;=1,"YES","NO")</f>
        <v>YES</v>
      </c>
      <c r="F18" s="4" t="str">
        <f aca="false">IFERROR(__xludf.dummyfunction("""COMPUTED_VALUE"""),"clarification::about::where::the::bug::occurs")</f>
        <v>clarification::about::where::the::bug::occurs</v>
      </c>
      <c r="G18" s="4" t="str">
        <f aca="false">IFERROR(__xludf.dummyfunction("""COMPUTED_VALUE"""),"change::abandoned::with::reason::(branch::end::of::life)")</f>
        <v>change::abandoned::with::reason::(branch::end::of::life)</v>
      </c>
      <c r="H18" s="4" t="str">
        <f aca="false">IFERROR(__xludf.dummyfunction("""COMPUTED_VALUE"""),"clarification::about::when::the:.bug::source")</f>
        <v>clarification::about::when::the:.bug::source</v>
      </c>
    </row>
    <row r="19" customFormat="false" ht="15.75" hidden="false" customHeight="false" outlineLevel="0" collapsed="false">
      <c r="A19" s="3" t="s">
        <v>31</v>
      </c>
      <c r="B19" s="3" t="str">
        <f aca="false">IF(COUNTIF(Final_CB_F5_V5!$B$2:$B$596,A19)&gt;=1,"YES","NO")</f>
        <v>YES</v>
      </c>
      <c r="C19" s="3" t="s">
        <v>30</v>
      </c>
      <c r="D19" s="3" t="str">
        <f aca="false">IF(COUNTIF(Final_CB_F5_V5!$C$2:$C$596,C19)&gt;=1,"YES","NO")</f>
        <v>YES</v>
      </c>
      <c r="F19" s="4" t="str">
        <f aca="false">IFERROR(__xludf.dummyfunction("""COMPUTED_VALUE"""),"command::line::output")</f>
        <v>command::line::output</v>
      </c>
      <c r="G19" s="4" t="str">
        <f aca="false">IFERROR(__xludf.dummyfunction("""COMPUTED_VALUE"""),"change::request")</f>
        <v>change::request</v>
      </c>
      <c r="H19" s="4" t="str">
        <f aca="false">IFERROR(__xludf.dummyfunction("""COMPUTED_VALUE"""),"clarification::of::software::versions::affected::by::the::bug")</f>
        <v>clarification::of::software::versions::affected::by::the::bug</v>
      </c>
    </row>
    <row r="20" customFormat="false" ht="15.75" hidden="false" customHeight="false" outlineLevel="0" collapsed="false">
      <c r="A20" s="3" t="s">
        <v>32</v>
      </c>
      <c r="B20" s="3" t="str">
        <f aca="false">IF(COUNTIF(Final_CB_F5_V5!$B$2:$B$596,A20)&gt;=1,"YES","NO")</f>
        <v>YES</v>
      </c>
      <c r="C20" s="3" t="s">
        <v>33</v>
      </c>
      <c r="D20" s="3" t="str">
        <f aca="false">IF(COUNTIF(Final_CB_F5_V5!$C$2:$C$596,C20)&gt;=1,"YES","NO")</f>
        <v>YES</v>
      </c>
      <c r="F20" s="4" t="str">
        <f aca="false">IFERROR(__xludf.dummyfunction("""COMPUTED_VALUE"""),"confimation::that::the::bug::is::duplicated::and::fixed")</f>
        <v>confimation::that::the::bug::is::duplicated::and::fixed</v>
      </c>
      <c r="G20" s="4" t="str">
        <f aca="false">IFERROR(__xludf.dummyfunction("""COMPUTED_VALUE"""),"changing::priority::(higher)")</f>
        <v>changing::priority::(higher)</v>
      </c>
      <c r="H20" s="4" t="str">
        <f aca="false">IFERROR(__xludf.dummyfunction("""COMPUTED_VALUE"""),"cleaning::and::creation::branches::for::the::proposed::fix")</f>
        <v>cleaning::and::creation::branches::for::the::proposed::fix</v>
      </c>
    </row>
    <row r="21" customFormat="false" ht="15.75" hidden="false" customHeight="false" outlineLevel="0" collapsed="false">
      <c r="A21" s="3" t="s">
        <v>33</v>
      </c>
      <c r="B21" s="3" t="str">
        <f aca="false">IF(COUNTIF(Final_CB_F5_V5!$B$2:$B$596,A21)&gt;=1,"YES","NO")</f>
        <v>YES</v>
      </c>
      <c r="C21" s="3" t="s">
        <v>34</v>
      </c>
      <c r="D21" s="3" t="str">
        <f aca="false">IF(COUNTIF(Final_CB_F5_V5!$C$2:$C$596,C21)&gt;=1,"YES","NO")</f>
        <v>YES</v>
      </c>
      <c r="F21" s="4" t="str">
        <f aca="false">IFERROR(__xludf.dummyfunction("""COMPUTED_VALUE"""),"culprit::related::to::identified::regression::(link::to::commit)")</f>
        <v>culprit::related::to::identified::regression::(link::to::commit)</v>
      </c>
      <c r="G21" s="4" t="str">
        <f aca="false">IFERROR(__xludf.dummyfunction("""COMPUTED_VALUE"""),"chat::messages::external::service")</f>
        <v>chat::messages::external::service</v>
      </c>
      <c r="H21" s="4" t="str">
        <f aca="false">IFERROR(__xludf.dummyfunction("""COMPUTED_VALUE"""),"committed::fix::fixed::the::bug")</f>
        <v>committed::fix::fixed::the::bug</v>
      </c>
    </row>
    <row r="22" customFormat="false" ht="15.75" hidden="false" customHeight="false" outlineLevel="0" collapsed="false">
      <c r="A22" s="3" t="s">
        <v>34</v>
      </c>
      <c r="B22" s="3" t="str">
        <f aca="false">IF(COUNTIF(Final_CB_F5_V5!$B$2:$B$596,A22)&gt;=1,"YES","NO")</f>
        <v>YES</v>
      </c>
      <c r="C22" s="3" t="s">
        <v>35</v>
      </c>
      <c r="D22" s="3" t="str">
        <f aca="false">IF(COUNTIF(Final_CB_F5_V5!$C$2:$C$596,C22)&gt;=1,"YES","NO")</f>
        <v>YES</v>
      </c>
      <c r="F22" s="4" t="str">
        <f aca="false">IFERROR(__xludf.dummyfunction("""COMPUTED_VALUE"""),"culprit::related::to::identified::regression::(link::to::review)")</f>
        <v>culprit::related::to::identified::regression::(link::to::review)</v>
      </c>
      <c r="G22" s="4" t="str">
        <f aca="false">IFERROR(__xludf.dummyfunction("""COMPUTED_VALUE"""),"circumstances::where::bug::appears")</f>
        <v>circumstances::where::bug::appears</v>
      </c>
      <c r="H22" s="4" t="str">
        <f aca="false">IFERROR(__xludf.dummyfunction("""COMPUTED_VALUE"""),"contains::logs::links::of::the::behaviour")</f>
        <v>contains::logs::links::of::the::behaviour</v>
      </c>
    </row>
    <row r="23" customFormat="false" ht="15.75" hidden="false" customHeight="false" outlineLevel="0" collapsed="false">
      <c r="A23" s="3" t="s">
        <v>36</v>
      </c>
      <c r="B23" s="3" t="str">
        <f aca="false">IF(COUNTIF(Final_CB_F5_V5!$B$2:$B$596,A23)&gt;=1,"YES","NO")</f>
        <v>YES</v>
      </c>
      <c r="C23" s="3" t="s">
        <v>37</v>
      </c>
      <c r="D23" s="3" t="str">
        <f aca="false">IF(COUNTIF(Final_CB_F5_V5!$C$2:$C$596,C23)&gt;=1,"YES","NO")</f>
        <v>YES</v>
      </c>
      <c r="F23" s="4" t="str">
        <f aca="false">IFERROR(__xludf.dummyfunction("""COMPUTED_VALUE"""),"details::on::the::involved::hardware")</f>
        <v>details::on::the::involved::hardware</v>
      </c>
      <c r="G23" s="4" t="str">
        <f aca="false">IFERROR(__xludf.dummyfunction("""COMPUTED_VALUE"""),"cites::documentation")</f>
        <v>cites::documentation</v>
      </c>
      <c r="H23" s="4" t="str">
        <f aca="false">IFERROR(__xludf.dummyfunction("""COMPUTED_VALUE"""),"criticallity::of::properties::that::are::affected::by::the::bug")</f>
        <v>criticallity::of::properties::that::are::affected::by::the::bug</v>
      </c>
    </row>
    <row r="24" customFormat="false" ht="15.75" hidden="false" customHeight="false" outlineLevel="0" collapsed="false">
      <c r="A24" s="3" t="s">
        <v>38</v>
      </c>
      <c r="B24" s="3" t="str">
        <f aca="false">IF(COUNTIF(Final_CB_F5_V5!$B$2:$B$596,A24)&gt;=1,"YES","NO")</f>
        <v>YES</v>
      </c>
      <c r="C24" s="3" t="s">
        <v>39</v>
      </c>
      <c r="D24" s="3" t="str">
        <f aca="false">IF(COUNTIF(Final_CB_F5_V5!$C$2:$C$596,C24)&gt;=1,"YES","NO")</f>
        <v>YES</v>
      </c>
      <c r="F24" s="4" t="str">
        <f aca="false">IFERROR(__xludf.dummyfunction("""COMPUTED_VALUE"""),"disagreeing::bug::description")</f>
        <v>disagreeing::bug::description</v>
      </c>
      <c r="G24" s="4" t="str">
        <f aca="false">IFERROR(__xludf.dummyfunction("""COMPUTED_VALUE"""),"compatibility")</f>
        <v>compatibility</v>
      </c>
      <c r="H24" s="4" t="str">
        <f aca="false">IFERROR(__xludf.dummyfunction("""COMPUTED_VALUE"""),"displays:.contradiction::tests::sucess::and::log")</f>
        <v>displays:.contradiction::tests::sucess::and::log</v>
      </c>
    </row>
    <row r="25" customFormat="false" ht="15.75" hidden="false" customHeight="false" outlineLevel="0" collapsed="false">
      <c r="A25" s="3" t="s">
        <v>39</v>
      </c>
      <c r="B25" s="3" t="str">
        <f aca="false">IF(COUNTIF(Final_CB_F5_V5!$B$2:$B$596,A25)&gt;=1,"YES","NO")</f>
        <v>YES</v>
      </c>
      <c r="C25" s="3" t="s">
        <v>40</v>
      </c>
      <c r="D25" s="3" t="str">
        <f aca="false">IF(COUNTIF(Final_CB_F5_V5!$C$2:$C$596,C25)&gt;=1,"YES","NO")</f>
        <v>YES</v>
      </c>
      <c r="F25" s="4" t="str">
        <f aca="false">IFERROR(__xludf.dummyfunction("""COMPUTED_VALUE"""),"displays::error::message")</f>
        <v>displays::error::message</v>
      </c>
      <c r="G25" s="4" t="str">
        <f aca="false">IFERROR(__xludf.dummyfunction("""COMPUTED_VALUE"""),"complex::changes::in::review::(specifically::tests)")</f>
        <v>complex::changes::in::review::(specifically::tests)</v>
      </c>
      <c r="H25" s="4" t="str">
        <f aca="false">IFERROR(__xludf.dummyfunction("""COMPUTED_VALUE"""),"example::output")</f>
        <v>example::output</v>
      </c>
    </row>
    <row r="26" customFormat="false" ht="15.75" hidden="false" customHeight="false" outlineLevel="0" collapsed="false">
      <c r="A26" s="3" t="s">
        <v>41</v>
      </c>
      <c r="B26" s="3" t="str">
        <f aca="false">IF(COUNTIF(Final_CB_F5_V5!$B$2:$B$596,A26)&gt;=1,"YES","NO")</f>
        <v>YES</v>
      </c>
      <c r="C26" s="3" t="s">
        <v>42</v>
      </c>
      <c r="D26" s="3" t="str">
        <f aca="false">IF(COUNTIF(Final_CB_F5_V5!$C$2:$C$596,C26)&gt;=1,"YES","NO")</f>
        <v>YES</v>
      </c>
      <c r="F26" s="4" t="str">
        <f aca="false">IFERROR(__xludf.dummyfunction("""COMPUTED_VALUE"""),"displays::error::message::(logs)")</f>
        <v>displays::error::message::(logs)</v>
      </c>
      <c r="G26" s="4" t="str">
        <f aca="false">IFERROR(__xludf.dummyfunction("""COMPUTED_VALUE"""),"configuration::of::nova::where::the::bug::was::found")</f>
        <v>configuration::of::nova::where::the::bug::was::found</v>
      </c>
      <c r="H26" s="4" t="str">
        <f aca="false">IFERROR(__xludf.dummyfunction("""COMPUTED_VALUE"""),"expected::behaviour::(example::from::previous::version)")</f>
        <v>expected::behaviour::(example::from::previous::version)</v>
      </c>
    </row>
    <row r="27" customFormat="false" ht="15.75" hidden="false" customHeight="false" outlineLevel="0" collapsed="false">
      <c r="A27" s="3" t="s">
        <v>43</v>
      </c>
      <c r="B27" s="3" t="str">
        <f aca="false">IF(COUNTIF(Final_CB_F5_V5!$B$2:$B$596,A27)&gt;=1,"YES","NO")</f>
        <v>YES</v>
      </c>
      <c r="C27" s="3" t="s">
        <v>44</v>
      </c>
      <c r="D27" s="3" t="str">
        <f aca="false">IF(COUNTIF(Final_CB_F5_V5!$C$2:$C$596,C27)&gt;=1,"YES","NO")</f>
        <v>YES</v>
      </c>
      <c r="F27" s="4" t="str">
        <f aca="false">IFERROR(__xludf.dummyfunction("""COMPUTED_VALUE"""),"displays::logs::of::the::behaviour")</f>
        <v>displays::logs::of::the::behaviour</v>
      </c>
      <c r="G27" s="4" t="str">
        <f aca="false">IFERROR(__xludf.dummyfunction("""COMPUTED_VALUE"""),"confirmation::issue::is::bug")</f>
        <v>confirmation::issue::is::bug</v>
      </c>
      <c r="H27" s="4" t="str">
        <f aca="false">IFERROR(__xludf.dummyfunction("""COMPUTED_VALUE"""),"expected::behaviour::(output::previous::version)")</f>
        <v>expected::behaviour::(output::previous::version)</v>
      </c>
    </row>
    <row r="28" customFormat="false" ht="15.75" hidden="false" customHeight="false" outlineLevel="0" collapsed="false">
      <c r="A28" s="3" t="s">
        <v>45</v>
      </c>
      <c r="B28" s="3" t="str">
        <f aca="false">IF(COUNTIF(Final_CB_F5_V5!$B$2:$B$596,A28)&gt;=1,"YES","NO")</f>
        <v>YES</v>
      </c>
      <c r="C28" s="3" t="s">
        <v>46</v>
      </c>
      <c r="D28" s="3" t="str">
        <f aca="false">IF(COUNTIF(Final_CB_F5_V5!$C$2:$C$596,C28)&gt;=1,"YES","NO")</f>
        <v>YES</v>
      </c>
      <c r="F28" s="4" t="str">
        <f aca="false">IFERROR(__xludf.dummyfunction("""COMPUTED_VALUE"""),"displays::logs::of::the::behaviour::with:.extra::debugging")</f>
        <v>displays::logs::of::the::behaviour::with:.extra::debugging</v>
      </c>
      <c r="G28" s="4" t="str">
        <f aca="false">IFERROR(__xludf.dummyfunction("""COMPUTED_VALUE"""),"content::of::possible::fix")</f>
        <v>content::of::possible::fix</v>
      </c>
      <c r="H28" s="4" t="str">
        <f aca="false">IFERROR(__xludf.dummyfunction("""COMPUTED_VALUE"""),"expected::behaviour::(output)")</f>
        <v>expected::behaviour::(output)</v>
      </c>
    </row>
    <row r="29" customFormat="false" ht="15.75" hidden="false" customHeight="false" outlineLevel="0" collapsed="false">
      <c r="A29" s="3" t="s">
        <v>47</v>
      </c>
      <c r="B29" s="3" t="str">
        <f aca="false">IF(COUNTIF(Final_CB_F5_V5!$B$2:$B$596,A29)&gt;=1,"YES","NO")</f>
        <v>YES</v>
      </c>
      <c r="C29" s="3" t="s">
        <v>48</v>
      </c>
      <c r="D29" s="3" t="str">
        <f aca="false">IF(COUNTIF(Final_CB_F5_V5!$C$2:$C$596,C29)&gt;=1,"YES","NO")</f>
        <v>YES</v>
      </c>
      <c r="F29" s="4" t="str">
        <f aca="false">IFERROR(__xludf.dummyfunction("""COMPUTED_VALUE"""),"displays::logs::of::the::behaviour::with:.extra::explanation")</f>
        <v>displays::logs::of::the::behaviour::with:.extra::explanation</v>
      </c>
      <c r="G29" s="4" t="str">
        <f aca="false">IFERROR(__xludf.dummyfunction("""COMPUTED_VALUE"""),"culprit::related::to::identified::regression")</f>
        <v>culprit::related::to::identified::regression</v>
      </c>
      <c r="H29" s="4" t="str">
        <f aca="false">IFERROR(__xludf.dummyfunction("""COMPUTED_VALUE"""),"explanation::why::two::differemt::reviews::are::proposed")</f>
        <v>explanation::why::two::differemt::reviews::are::proposed</v>
      </c>
    </row>
    <row r="30" customFormat="false" ht="15.75" hidden="false" customHeight="false" outlineLevel="0" collapsed="false">
      <c r="A30" s="3" t="s">
        <v>49</v>
      </c>
      <c r="B30" s="3" t="str">
        <f aca="false">IF(COUNTIF(Final_CB_F5_V5!$B$2:$B$596,A30)&gt;=1,"YES","NO")</f>
        <v>YES</v>
      </c>
      <c r="C30" s="3" t="s">
        <v>50</v>
      </c>
      <c r="D30" s="3" t="str">
        <f aca="false">IF(COUNTIF(Final_CB_F5_V5!$C$2:$C$596,C30)&gt;=1,"YES","NO")</f>
        <v>YES</v>
      </c>
      <c r="F30" s="4" t="str">
        <f aca="false">IFERROR(__xludf.dummyfunction("""COMPUTED_VALUE"""),"disussing::possible::solutions")</f>
        <v>disussing::possible::solutions</v>
      </c>
      <c r="G30" s="4" t="str">
        <f aca="false">IFERROR(__xludf.dummyfunction("""COMPUTED_VALUE"""),"culprit::related::to::identified::regression::(link::to::issue)")</f>
        <v>culprit::related::to::identified::regression::(link::to::issue)</v>
      </c>
      <c r="H30" s="4" t="str">
        <f aca="false">IFERROR(__xludf.dummyfunction("""COMPUTED_VALUE"""),"fix::merged::related::hash::commit")</f>
        <v>fix::merged::related::hash::commit</v>
      </c>
    </row>
    <row r="31" customFormat="false" ht="15.75" hidden="false" customHeight="false" outlineLevel="0" collapsed="false">
      <c r="A31" s="3" t="s">
        <v>40</v>
      </c>
      <c r="B31" s="3" t="str">
        <f aca="false">IF(COUNTIF(Final_CB_F5_V5!$B$2:$B$596,A31)&gt;=1,"YES","NO")</f>
        <v>YES</v>
      </c>
      <c r="C31" s="3" t="s">
        <v>51</v>
      </c>
      <c r="D31" s="3" t="str">
        <f aca="false">IF(COUNTIF(Final_CB_F5_V5!$C$2:$C$596,C31)&gt;=1,"YES","NO")</f>
        <v>YES</v>
      </c>
      <c r="F31" s="4" t="str">
        <f aca="false">IFERROR(__xludf.dummyfunction("""COMPUTED_VALUE"""),"expected::behaviour")</f>
        <v>expected::behaviour</v>
      </c>
      <c r="G31" s="4" t="str">
        <f aca="false">IFERROR(__xludf.dummyfunction("""COMPUTED_VALUE"""),"debugging")</f>
        <v>debugging</v>
      </c>
      <c r="H31" s="4" t="str">
        <f aca="false">IFERROR(__xludf.dummyfunction("""COMPUTED_VALUE"""),"identify::specific::problem::causing::the::bug::regression")</f>
        <v>identify::specific::problem::causing::the::bug::regression</v>
      </c>
    </row>
    <row r="32" customFormat="false" ht="15.75" hidden="false" customHeight="false" outlineLevel="0" collapsed="false">
      <c r="A32" s="3" t="s">
        <v>52</v>
      </c>
      <c r="B32" s="3" t="str">
        <f aca="false">IF(COUNTIF(Final_CB_F5_V5!$B$2:$B$596,A32)&gt;=1,"YES","NO")</f>
        <v>YES</v>
      </c>
      <c r="C32" s="3" t="s">
        <v>53</v>
      </c>
      <c r="D32" s="3" t="str">
        <f aca="false">IF(COUNTIF(Final_CB_F5_V5!$C$2:$C$596,C32)&gt;=1,"YES","NO")</f>
        <v>YES</v>
      </c>
      <c r="F32" s="4" t="str">
        <f aca="false">IFERROR(__xludf.dummyfunction("""COMPUTED_VALUE"""),"explanation::for::observed::behaviour")</f>
        <v>explanation::for::observed::behaviour</v>
      </c>
      <c r="G32" s="4" t="str">
        <f aca="false">IFERROR(__xludf.dummyfunction("""COMPUTED_VALUE"""),"desired::behaviour")</f>
        <v>desired::behaviour</v>
      </c>
      <c r="H32" s="4" t="str">
        <f aca="false">IFERROR(__xludf.dummyfunction("""COMPUTED_VALUE"""),"identifying::the::bug::duplication")</f>
        <v>identifying::the::bug::duplication</v>
      </c>
    </row>
    <row r="33" customFormat="false" ht="15.75" hidden="false" customHeight="false" outlineLevel="0" collapsed="false">
      <c r="A33" s="3" t="s">
        <v>54</v>
      </c>
      <c r="B33" s="3" t="str">
        <f aca="false">IF(COUNTIF(Final_CB_F5_V5!$B$2:$B$596,A33)&gt;=1,"YES","NO")</f>
        <v>YES</v>
      </c>
      <c r="C33" s="3" t="s">
        <v>55</v>
      </c>
      <c r="D33" s="3" t="str">
        <f aca="false">IF(COUNTIF(Final_CB_F5_V5!$C$2:$C$596,C33)&gt;=1,"YES","NO")</f>
        <v>YES</v>
      </c>
      <c r="F33" s="4" t="str">
        <f aca="false">IFERROR(__xludf.dummyfunction("""COMPUTED_VALUE"""),"identifying::bug::fixed::elsewhere::(link::file::other::package)")</f>
        <v>identifying::bug::fixed::elsewhere::(link::file::other::package)</v>
      </c>
      <c r="G33" s="4" t="str">
        <f aca="false">IFERROR(__xludf.dummyfunction("""COMPUTED_VALUE"""),"discussing::correct::use::of::issue::tracker")</f>
        <v>discussing::correct::use::of::issue::tracker</v>
      </c>
      <c r="H33" s="4" t="str">
        <f aca="false">IFERROR(__xludf.dummyfunction("""COMPUTED_VALUE"""),"if:.fix::has:.fixed::or::not::the::bug")</f>
        <v>if:.fix::has:.fixed::or::not::the::bug</v>
      </c>
    </row>
    <row r="34" customFormat="false" ht="15.75" hidden="false" customHeight="false" outlineLevel="0" collapsed="false">
      <c r="A34" s="3" t="s">
        <v>44</v>
      </c>
      <c r="B34" s="3" t="str">
        <f aca="false">IF(COUNTIF(Final_CB_F5_V5!$B$2:$B$596,A34)&gt;=1,"YES","NO")</f>
        <v>YES</v>
      </c>
      <c r="C34" s="3" t="s">
        <v>56</v>
      </c>
      <c r="D34" s="3" t="str">
        <f aca="false">IF(COUNTIF(Final_CB_F5_V5!$C$2:$C$596,C34)&gt;=1,"YES","NO")</f>
        <v>YES</v>
      </c>
      <c r="F34" s="4" t="str">
        <f aca="false">IFERROR(__xludf.dummyfunction("""COMPUTED_VALUE"""),"informing::backporting")</f>
        <v>informing::backporting</v>
      </c>
      <c r="G34" s="4" t="str">
        <f aca="false">IFERROR(__xludf.dummyfunction("""COMPUTED_VALUE"""),"displays::logs::of::previous::behaviour")</f>
        <v>displays::logs::of::previous::behaviour</v>
      </c>
      <c r="H34" s="4" t="str">
        <f aca="false">IFERROR(__xludf.dummyfunction("""COMPUTED_VALUE"""),"implications::of::the::changes::needed::to::fix::the::bug")</f>
        <v>implications::of::the::changes::needed::to::fix::the::bug</v>
      </c>
    </row>
    <row r="35" customFormat="false" ht="15.75" hidden="false" customHeight="false" outlineLevel="0" collapsed="false">
      <c r="A35" s="3" t="s">
        <v>57</v>
      </c>
      <c r="B35" s="3" t="str">
        <f aca="false">IF(COUNTIF(Final_CB_F5_V5!$B$2:$B$596,A35)&gt;=1,"YES","NO")</f>
        <v>YES</v>
      </c>
      <c r="C35" s="3" t="s">
        <v>58</v>
      </c>
      <c r="D35" s="3" t="str">
        <f aca="false">IF(COUNTIF(Final_CB_F5_V5!$C$2:$C$596,C35)&gt;=1,"YES","NO")</f>
        <v>YES</v>
      </c>
      <c r="F35" s="4" t="str">
        <f aca="false">IFERROR(__xludf.dummyfunction("""COMPUTED_VALUE"""),"issue::closed::(revision::hash)")</f>
        <v>issue::closed::(revision::hash)</v>
      </c>
      <c r="G35" s="4" t="str">
        <f aca="false">IFERROR(__xludf.dummyfunction("""COMPUTED_VALUE"""),"expected::behaviour::(logs::from::previous::version)")</f>
        <v>expected::behaviour::(logs::from::previous::version)</v>
      </c>
      <c r="H35" s="4" t="str">
        <f aca="false">IFERROR(__xludf.dummyfunction("""COMPUTED_VALUE"""),"inconsistencies::of::the::bahaviour::of::patched/modified::code")</f>
        <v>inconsistencies::of::the::bahaviour::of::patched/modified::code</v>
      </c>
    </row>
    <row r="36" customFormat="false" ht="15.75" hidden="false" customHeight="false" outlineLevel="0" collapsed="false">
      <c r="A36" s="3" t="s">
        <v>59</v>
      </c>
      <c r="B36" s="3" t="str">
        <f aca="false">IF(COUNTIF(Final_CB_F5_V5!$B$2:$B$596,A36)&gt;=1,"YES","NO")</f>
        <v>YES</v>
      </c>
      <c r="C36" s="3" t="s">
        <v>60</v>
      </c>
      <c r="D36" s="3" t="str">
        <f aca="false">IF(COUNTIF(Final_CB_F5_V5!$C$2:$C$596,C36)&gt;=1,"YES","NO")</f>
        <v>YES</v>
      </c>
      <c r="F36" s="4" t="str">
        <f aca="false">IFERROR(__xludf.dummyfunction("""COMPUTED_VALUE"""),"issues::related::(link::issue)")</f>
        <v>issues::related::(link::issue)</v>
      </c>
      <c r="G36" s="4" t="str">
        <f aca="false">IFERROR(__xludf.dummyfunction("""COMPUTED_VALUE"""),"failing::test")</f>
        <v>failing::test</v>
      </c>
      <c r="H36" s="4" t="str">
        <f aca="false">IFERROR(__xludf.dummyfunction("""COMPUTED_VALUE"""),"incorporate::the::change::into::a::different::project")</f>
        <v>incorporate::the::change::into::a::different::project</v>
      </c>
    </row>
    <row r="37" customFormat="false" ht="15.75" hidden="false" customHeight="false" outlineLevel="0" collapsed="false">
      <c r="A37" s="3" t="s">
        <v>61</v>
      </c>
      <c r="B37" s="3" t="str">
        <f aca="false">IF(COUNTIF(Final_CB_F5_V5!$B$2:$B$596,A37)&gt;=1,"YES","NO")</f>
        <v>YES</v>
      </c>
      <c r="C37" s="3" t="s">
        <v>62</v>
      </c>
      <c r="D37" s="3" t="str">
        <f aca="false">IF(COUNTIF(Final_CB_F5_V5!$C$2:$C$596,C37)&gt;=1,"YES","NO")</f>
        <v>YES</v>
      </c>
      <c r="F37" s="4" t="str">
        <f aca="false">IFERROR(__xludf.dummyfunction("""COMPUTED_VALUE"""),"originally::reported::elsewhere::(link::github)")</f>
        <v>originally::reported::elsewhere::(link::github)</v>
      </c>
      <c r="G37" s="4" t="str">
        <f aca="false">IFERROR(__xludf.dummyfunction("""COMPUTED_VALUE"""),"feature::request")</f>
        <v>feature::request</v>
      </c>
      <c r="H37" s="4" t="str">
        <f aca="false">IFERROR(__xludf.dummyfunction("""COMPUTED_VALUE"""),"information::commited::fix::(link::commit::not::related::to::any::previous::review)")</f>
        <v>information::commited::fix::(link::commit::not::related::to::any::previous::review)</v>
      </c>
    </row>
    <row r="38" customFormat="false" ht="15.75" hidden="false" customHeight="false" outlineLevel="0" collapsed="false">
      <c r="A38" s="3" t="s">
        <v>63</v>
      </c>
      <c r="B38" s="3" t="str">
        <f aca="false">IF(COUNTIF(Final_CB_F5_V5!$B$2:$B$596,A38)&gt;=1,"YES","NO")</f>
        <v>YES</v>
      </c>
      <c r="C38" s="3" t="s">
        <v>64</v>
      </c>
      <c r="D38" s="3" t="str">
        <f aca="false">IF(COUNTIF(Final_CB_F5_V5!$C$2:$C$596,C38)&gt;=1,"YES","NO")</f>
        <v>YES</v>
      </c>
      <c r="F38" s="4" t="str">
        <f aca="false">IFERROR(__xludf.dummyfunction("""COMPUTED_VALUE"""),"proposal::of::a::possible::fix::(code::in::text)")</f>
        <v>proposal::of::a::possible::fix::(code::in::text)</v>
      </c>
      <c r="G38" s="4" t="str">
        <f aca="false">IFERROR(__xludf.dummyfunction("""COMPUTED_VALUE"""),"fix::is::partial::fix")</f>
        <v>fix::is::partial::fix</v>
      </c>
      <c r="H38" s="4" t="str">
        <f aca="false">IFERROR(__xludf.dummyfunction("""COMPUTED_VALUE"""),"information::commited::fix::(link::commit::not::related::to::any::previous::review2)")</f>
        <v>information::commited::fix::(link::commit::not::related::to::any::previous::review2)</v>
      </c>
    </row>
    <row r="39" customFormat="false" ht="15.75" hidden="false" customHeight="false" outlineLevel="0" collapsed="false">
      <c r="A39" s="3" t="s">
        <v>51</v>
      </c>
      <c r="B39" s="3" t="str">
        <f aca="false">IF(COUNTIF(Final_CB_F5_V5!$B$2:$B$596,A39)&gt;=1,"YES","NO")</f>
        <v>YES</v>
      </c>
      <c r="C39" s="3" t="s">
        <v>65</v>
      </c>
      <c r="D39" s="3" t="str">
        <f aca="false">IF(COUNTIF(Final_CB_F5_V5!$C$2:$C$596,C39)&gt;=1,"YES","NO")</f>
        <v>YES</v>
      </c>
      <c r="F39" s="4" t="str">
        <f aca="false">IFERROR(__xludf.dummyfunction("""COMPUTED_VALUE"""),"proposal::of::a::possible::fix::(debdiff)::not::main::branch")</f>
        <v>proposal::of::a::possible::fix::(debdiff)::not::main::branch</v>
      </c>
      <c r="G39" s="4" t="str">
        <f aca="false">IFERROR(__xludf.dummyfunction("""COMPUTED_VALUE"""),"fix::merged")</f>
        <v>fix::merged</v>
      </c>
      <c r="H39" s="4" t="str">
        <f aca="false">IFERROR(__xludf.dummyfunction("""COMPUTED_VALUE"""),"information::commited::fix::(link::commit)")</f>
        <v>information::commited::fix::(link::commit)</v>
      </c>
    </row>
    <row r="40" customFormat="false" ht="15.75" hidden="false" customHeight="false" outlineLevel="0" collapsed="false">
      <c r="A40" s="3" t="s">
        <v>58</v>
      </c>
      <c r="B40" s="3" t="str">
        <f aca="false">IF(COUNTIF(Final_CB_F5_V5!$B$2:$B$596,A40)&gt;=1,"YES","NO")</f>
        <v>YES</v>
      </c>
      <c r="C40" s="3" t="s">
        <v>66</v>
      </c>
      <c r="D40" s="3" t="str">
        <f aca="false">IF(COUNTIF(Final_CB_F5_V5!$C$2:$C$596,C40)&gt;=1,"YES","NO")</f>
        <v>YES</v>
      </c>
      <c r="F40" s="4" t="str">
        <f aca="false">IFERROR(__xludf.dummyfunction("""COMPUTED_VALUE"""),"proposal::of::a::possible::fix::(diff::in::text)")</f>
        <v>proposal::of::a::possible::fix::(diff::in::text)</v>
      </c>
      <c r="G40" s="4" t="str">
        <f aca="false">IFERROR(__xludf.dummyfunction("""COMPUTED_VALUE"""),"fix::merged::(link::review1)")</f>
        <v>fix::merged::(link::review1)</v>
      </c>
      <c r="H40" s="4" t="str">
        <f aca="false">IFERROR(__xludf.dummyfunction("""COMPUTED_VALUE"""),"information::commited::fix::(link::commit)::not::main::branch")</f>
        <v>information::commited::fix::(link::commit)::not::main::branch</v>
      </c>
    </row>
    <row r="41" customFormat="false" ht="15.75" hidden="false" customHeight="false" outlineLevel="0" collapsed="false">
      <c r="A41" s="3" t="s">
        <v>64</v>
      </c>
      <c r="B41" s="3" t="str">
        <f aca="false">IF(COUNTIF(Final_CB_F5_V5!$B$2:$B$596,A41)&gt;=1,"YES","NO")</f>
        <v>YES</v>
      </c>
      <c r="C41" s="3" t="s">
        <v>67</v>
      </c>
      <c r="D41" s="3" t="str">
        <f aca="false">IF(COUNTIF(Final_CB_F5_V5!$C$2:$C$596,C41)&gt;=1,"YES","NO")</f>
        <v>YES</v>
      </c>
      <c r="F41" s="4" t="str">
        <f aca="false">IFERROR(__xludf.dummyfunction("""COMPUTED_VALUE"""),"proposal::of::a::possible::fix::(gist)")</f>
        <v>proposal::of::a::possible::fix::(gist)</v>
      </c>
      <c r="G41" s="4" t="str">
        <f aca="false">IFERROR(__xludf.dummyfunction("""COMPUTED_VALUE"""),"fix::merged::(link::review1)::not::main::branch")</f>
        <v>fix::merged::(link::review1)::not::main::branch</v>
      </c>
      <c r="H41" s="4" t="str">
        <f aca="false">IFERROR(__xludf.dummyfunction("""COMPUTED_VALUE"""),"information::commited::fix::(link::commit2)")</f>
        <v>information::commited::fix::(link::commit2)</v>
      </c>
    </row>
    <row r="42" customFormat="false" ht="15.75" hidden="false" customHeight="false" outlineLevel="0" collapsed="false">
      <c r="A42" s="3" t="s">
        <v>68</v>
      </c>
      <c r="B42" s="3" t="str">
        <f aca="false">IF(COUNTIF(Final_CB_F5_V5!$B$2:$B$596,A42)&gt;=1,"YES","NO")</f>
        <v>YES</v>
      </c>
      <c r="C42" s="3" t="s">
        <v>69</v>
      </c>
      <c r="D42" s="3" t="str">
        <f aca="false">IF(COUNTIF(Final_CB_F5_V5!$C$2:$C$596,C42)&gt;=1,"YES","NO")</f>
        <v>YES</v>
      </c>
      <c r="F42" s="4" t="str">
        <f aca="false">IFERROR(__xludf.dummyfunction("""COMPUTED_VALUE"""),"proposal::of::a::possible::fix::(idea)")</f>
        <v>proposal::of::a::possible::fix::(idea)</v>
      </c>
      <c r="G42" s="4" t="str">
        <f aca="false">IFERROR(__xludf.dummyfunction("""COMPUTED_VALUE"""),"fix::merged::(link::review1)::related::fix")</f>
        <v>fix::merged::(link::review1)::related::fix</v>
      </c>
      <c r="H42" s="4" t="str">
        <f aca="false">IFERROR(__xludf.dummyfunction("""COMPUTED_VALUE"""),"information::commited::fix::(link::commit2)::not::main::branch")</f>
        <v>information::commited::fix::(link::commit2)::not::main::branch</v>
      </c>
    </row>
    <row r="43" customFormat="false" ht="15.75" hidden="false" customHeight="false" outlineLevel="0" collapsed="false">
      <c r="A43" s="3" t="s">
        <v>70</v>
      </c>
      <c r="B43" s="3" t="str">
        <f aca="false">IF(COUNTIF(Final_CB_F5_V5!$B$2:$B$596,A43)&gt;=1,"YES","NO")</f>
        <v>YES</v>
      </c>
      <c r="C43" s="3" t="s">
        <v>71</v>
      </c>
      <c r="D43" s="3" t="str">
        <f aca="false">IF(COUNTIF(Final_CB_F5_V5!$C$2:$C$596,C43)&gt;=1,"YES","NO")</f>
        <v>YES</v>
      </c>
      <c r="F43" s="4" t="str">
        <f aca="false">IFERROR(__xludf.dummyfunction("""COMPUTED_VALUE"""),"proposal::of::a::possible::fix::(link::patch)")</f>
        <v>proposal::of::a::possible::fix::(link::patch)</v>
      </c>
      <c r="G43" s="4" t="str">
        <f aca="false">IFERROR(__xludf.dummyfunction("""COMPUTED_VALUE"""),"fix::merged::(link::review2)")</f>
        <v>fix::merged::(link::review2)</v>
      </c>
      <c r="H43" s="4" t="str">
        <f aca="false">IFERROR(__xludf.dummyfunction("""COMPUTED_VALUE"""),"information::commited::fix::(link::commit3)")</f>
        <v>information::commited::fix::(link::commit3)</v>
      </c>
    </row>
    <row r="44" customFormat="false" ht="15.75" hidden="false" customHeight="false" outlineLevel="0" collapsed="false">
      <c r="A44" s="3" t="s">
        <v>72</v>
      </c>
      <c r="B44" s="3" t="str">
        <f aca="false">IF(COUNTIF(Final_CB_F5_V5!$B$2:$B$596,A44)&gt;=1,"YES","NO")</f>
        <v>YES</v>
      </c>
      <c r="C44" s="3" t="s">
        <v>73</v>
      </c>
      <c r="D44" s="3" t="str">
        <f aca="false">IF(COUNTIF(Final_CB_F5_V5!$C$2:$C$596,C44)&gt;=1,"YES","NO")</f>
        <v>YES</v>
      </c>
      <c r="F44" s="4" t="str">
        <f aca="false">IFERROR(__xludf.dummyfunction("""COMPUTED_VALUE"""),"proposal::of::a::possible::fix::(link::review)")</f>
        <v>proposal::of::a::possible::fix::(link::review)</v>
      </c>
      <c r="G44" s="4" t="str">
        <f aca="false">IFERROR(__xludf.dummyfunction("""COMPUTED_VALUE"""),"fix::merged::(link::review2)::not::main::branch")</f>
        <v>fix::merged::(link::review2)::not::main::branch</v>
      </c>
      <c r="H44" s="4" t="str">
        <f aca="false">IFERROR(__xludf.dummyfunction("""COMPUTED_VALUE"""),"information::commited::fix::(link::commit4)")</f>
        <v>information::commited::fix::(link::commit4)</v>
      </c>
    </row>
    <row r="45" customFormat="false" ht="15.75" hidden="false" customHeight="false" outlineLevel="0" collapsed="false">
      <c r="A45" s="3" t="s">
        <v>66</v>
      </c>
      <c r="B45" s="3" t="str">
        <f aca="false">IF(COUNTIF(Final_CB_F5_V5!$B$2:$B$596,A45)&gt;=1,"YES","NO")</f>
        <v>YES</v>
      </c>
      <c r="C45" s="3" t="s">
        <v>74</v>
      </c>
      <c r="D45" s="3" t="str">
        <f aca="false">IF(COUNTIF(Final_CB_F5_V5!$C$2:$C$596,C45)&gt;=1,"YES","NO")</f>
        <v>YES</v>
      </c>
      <c r="F45" s="4" t="str">
        <f aca="false">IFERROR(__xludf.dummyfunction("""COMPUTED_VALUE"""),"proposal::of::a::possible::fix::(link::review)::not::main::branch")</f>
        <v>proposal::of::a::possible::fix::(link::review)::not::main::branch</v>
      </c>
      <c r="G45" s="4" t="str">
        <f aca="false">IFERROR(__xludf.dummyfunction("""COMPUTED_VALUE"""),"fix::merged::(link::review2)::related::fix")</f>
        <v>fix::merged::(link::review2)::related::fix</v>
      </c>
      <c r="H45" s="4" t="str">
        <f aca="false">IFERROR(__xludf.dummyfunction("""COMPUTED_VALUE"""),"information::commited::related::fix::(link::commit)")</f>
        <v>information::commited::related::fix::(link::commit)</v>
      </c>
    </row>
    <row r="46" customFormat="false" ht="15.75" hidden="false" customHeight="false" outlineLevel="0" collapsed="false">
      <c r="A46" s="3" t="s">
        <v>75</v>
      </c>
      <c r="B46" s="3" t="str">
        <f aca="false">IF(COUNTIF(Final_CB_F5_V5!$B$2:$B$596,A46)&gt;=1,"YES","NO")</f>
        <v>YES</v>
      </c>
      <c r="C46" s="3" t="s">
        <v>76</v>
      </c>
      <c r="D46" s="3" t="str">
        <f aca="false">IF(COUNTIF(Final_CB_F5_V5!$C$2:$C$596,C46)&gt;=1,"YES","NO")</f>
        <v>YES</v>
      </c>
      <c r="F46" s="4" t="str">
        <f aca="false">IFERROR(__xludf.dummyfunction("""COMPUTED_VALUE"""),"proposal::of::a::possible::fix::(link::review2)")</f>
        <v>proposal::of::a::possible::fix::(link::review2)</v>
      </c>
      <c r="G46" s="4" t="str">
        <f aca="false">IFERROR(__xludf.dummyfunction("""COMPUTED_VALUE"""),"fix::merged::(link::review3)")</f>
        <v>fix::merged::(link::review3)</v>
      </c>
      <c r="H46" s="4" t="str">
        <f aca="false">IFERROR(__xludf.dummyfunction("""COMPUTED_VALUE"""),"information::PR::fix")</f>
        <v>information::PR::fix</v>
      </c>
    </row>
    <row r="47" customFormat="false" ht="15.75" hidden="false" customHeight="false" outlineLevel="0" collapsed="false">
      <c r="A47" s="3" t="s">
        <v>77</v>
      </c>
      <c r="B47" s="3" t="str">
        <f aca="false">IF(COUNTIF(Final_CB_F5_V5!$B$2:$B$596,A47)&gt;=1,"YES","NO")</f>
        <v>YES</v>
      </c>
      <c r="C47" s="3" t="s">
        <v>78</v>
      </c>
      <c r="D47" s="3" t="str">
        <f aca="false">IF(COUNTIF(Final_CB_F5_V5!$C$2:$C$596,C47)&gt;=1,"YES","NO")</f>
        <v>YES</v>
      </c>
      <c r="F47" s="4" t="str">
        <f aca="false">IFERROR(__xludf.dummyfunction("""COMPUTED_VALUE"""),"proposal::of::a::possible::fix::(link::review2)::not::main::branch")</f>
        <v>proposal::of::a::possible::fix::(link::review2)::not::main::branch</v>
      </c>
      <c r="G47" s="4" t="str">
        <f aca="false">IFERROR(__xludf.dummyfunction("""COMPUTED_VALUE"""),"fix::merged::(link::review3)::not::main::branch")</f>
        <v>fix::merged::(link::review3)::not::main::branch</v>
      </c>
      <c r="H47" s="4" t="str">
        <f aca="false">IFERROR(__xludf.dummyfunction("""COMPUTED_VALUE"""),"informing::bug:.already::fixed")</f>
        <v>informing::bug:.already::fixed</v>
      </c>
    </row>
    <row r="48" customFormat="false" ht="15.75" hidden="false" customHeight="false" outlineLevel="0" collapsed="false">
      <c r="A48" s="3" t="s">
        <v>79</v>
      </c>
      <c r="B48" s="3" t="str">
        <f aca="false">IF(COUNTIF(Final_CB_F5_V5!$B$2:$B$596,A48)&gt;=1,"YES","NO")</f>
        <v>YES</v>
      </c>
      <c r="C48" s="3" t="s">
        <v>80</v>
      </c>
      <c r="D48" s="3" t="str">
        <f aca="false">IF(COUNTIF(Final_CB_F5_V5!$C$2:$C$596,C48)&gt;=1,"YES","NO")</f>
        <v>YES</v>
      </c>
      <c r="F48" s="4" t="str">
        <f aca="false">IFERROR(__xludf.dummyfunction("""COMPUTED_VALUE"""),"proposal::of::a::possible::fix::(link::review3)")</f>
        <v>proposal::of::a::possible::fix::(link::review3)</v>
      </c>
      <c r="G48" s="4" t="str">
        <f aca="false">IFERROR(__xludf.dummyfunction("""COMPUTED_VALUE"""),"fix::merged::(link::review4)::related::fix")</f>
        <v>fix::merged::(link::review4)::related::fix</v>
      </c>
      <c r="H48" s="4" t="str">
        <f aca="false">IFERROR(__xludf.dummyfunction("""COMPUTED_VALUE"""),"informing::bug:.already::fixed::(release::name)")</f>
        <v>informing::bug:.already::fixed::(release::name)</v>
      </c>
    </row>
    <row r="49" customFormat="false" ht="15.75" hidden="false" customHeight="false" outlineLevel="0" collapsed="false">
      <c r="A49" s="3" t="s">
        <v>71</v>
      </c>
      <c r="B49" s="3" t="str">
        <f aca="false">IF(COUNTIF(Final_CB_F5_V5!$B$2:$B$596,A49)&gt;=1,"YES","NO")</f>
        <v>YES</v>
      </c>
      <c r="C49" s="3" t="s">
        <v>81</v>
      </c>
      <c r="D49" s="3" t="str">
        <f aca="false">IF(COUNTIF(Final_CB_F5_V5!$C$2:$C$596,C49)&gt;=1,"YES","NO")</f>
        <v>YES</v>
      </c>
      <c r="F49" s="4" t="str">
        <f aca="false">IFERROR(__xludf.dummyfunction("""COMPUTED_VALUE"""),"proposes::workaround::(code::in::text)")</f>
        <v>proposes::workaround::(code::in::text)</v>
      </c>
      <c r="G49" s="4" t="str">
        <f aca="false">IFERROR(__xludf.dummyfunction("""COMPUTED_VALUE"""),"fix::merged::not::main::branch")</f>
        <v>fix::merged::not::main::branch</v>
      </c>
      <c r="H49" s="4" t="str">
        <f aca="false">IFERROR(__xludf.dummyfunction("""COMPUTED_VALUE"""),"instructions::of::what::to::do::if::a::regression::is::found::in::the::feature")</f>
        <v>instructions::of::what::to::do::if::a::regression::is::found::in::the::feature</v>
      </c>
    </row>
    <row r="50" customFormat="false" ht="15.75" hidden="false" customHeight="false" outlineLevel="0" collapsed="false">
      <c r="A50" s="3" t="s">
        <v>82</v>
      </c>
      <c r="B50" s="3" t="str">
        <f aca="false">IF(COUNTIF(Final_CB_F5_V5!$B$2:$B$596,A50)&gt;=1,"YES","NO")</f>
        <v>YES</v>
      </c>
      <c r="C50" s="3" t="s">
        <v>83</v>
      </c>
      <c r="D50" s="3" t="str">
        <f aca="false">IF(COUNTIF(Final_CB_F5_V5!$C$2:$C$596,C50)&gt;=1,"YES","NO")</f>
        <v>YES</v>
      </c>
      <c r="F50" s="4" t="str">
        <f aca="false">IFERROR(__xludf.dummyfunction("""COMPUTED_VALUE"""),"providing::clarification::status::release")</f>
        <v>providing::clarification::status::release</v>
      </c>
      <c r="G50" s="4" t="str">
        <f aca="false">IFERROR(__xludf.dummyfunction("""COMPUTED_VALUE"""),"fix::merged::related::fix")</f>
        <v>fix::merged::related::fix</v>
      </c>
      <c r="H50" s="4" t="str">
        <f aca="false">IFERROR(__xludf.dummyfunction("""COMPUTED_VALUE"""),"issues::related::(link::issue::external)")</f>
        <v>issues::related::(link::issue::external)</v>
      </c>
    </row>
    <row r="51" customFormat="false" ht="15.75" hidden="false" customHeight="false" outlineLevel="0" collapsed="false">
      <c r="A51" s="3" t="s">
        <v>73</v>
      </c>
      <c r="B51" s="3" t="str">
        <f aca="false">IF(COUNTIF(Final_CB_F5_V5!$B$2:$B$596,A51)&gt;=1,"YES","NO")</f>
        <v>YES</v>
      </c>
      <c r="C51" s="3" t="s">
        <v>84</v>
      </c>
      <c r="D51" s="3" t="str">
        <f aca="false">IF(COUNTIF(Final_CB_F5_V5!$C$2:$C$596,C51)&gt;=1,"YES","NO")</f>
        <v>YES</v>
      </c>
      <c r="F51" s="4" t="str">
        <f aca="false">IFERROR(__xludf.dummyfunction("""COMPUTED_VALUE"""),"providing::example::when::bug::is::not::present")</f>
        <v>providing::example::when::bug::is::not::present</v>
      </c>
      <c r="G51" s="4" t="str">
        <f aca="false">IFERROR(__xludf.dummyfunction("""COMPUTED_VALUE"""),"fixed::elsewhere::confirmed")</f>
        <v>fixed::elsewhere::confirmed</v>
      </c>
      <c r="H51" s="4" t="str">
        <f aca="false">IFERROR(__xludf.dummyfunction("""COMPUTED_VALUE"""),"joining::previously:.mentioned::reasons::for::the::continuation::of::bug")</f>
        <v>joining::previously:.mentioned::reasons::for::the::continuation::of::bug</v>
      </c>
    </row>
    <row r="52" customFormat="false" ht="15.75" hidden="false" customHeight="false" outlineLevel="0" collapsed="false">
      <c r="A52" s="3" t="s">
        <v>85</v>
      </c>
      <c r="B52" s="3" t="str">
        <f aca="false">IF(COUNTIF(Final_CB_F5_V5!$B$2:$B$596,A52)&gt;=1,"YES","NO")</f>
        <v>YES</v>
      </c>
      <c r="C52" s="3" t="s">
        <v>86</v>
      </c>
      <c r="D52" s="3" t="str">
        <f aca="false">IF(COUNTIF(Final_CB_F5_V5!$C$2:$C$596,C52)&gt;=1,"YES","NO")</f>
        <v>YES</v>
      </c>
      <c r="F52" s="4" t="str">
        <f aca="false">IFERROR(__xludf.dummyfunction("""COMPUTED_VALUE"""),"providing::example::when::bug::is::present")</f>
        <v>providing::example::when::bug::is::present</v>
      </c>
      <c r="G52" s="4" t="str">
        <f aca="false">IFERROR(__xludf.dummyfunction("""COMPUTED_VALUE"""),"identifying::bug::fixed::elsewhere::(link::review)")</f>
        <v>identifying::bug::fixed::elsewhere::(link::review)</v>
      </c>
      <c r="H52" s="4" t="str">
        <f aca="false">IFERROR(__xludf.dummyfunction("""COMPUTED_VALUE"""),"justification::of::changing::triage")</f>
        <v>justification::of::changing::triage</v>
      </c>
    </row>
    <row r="53" customFormat="false" ht="15.75" hidden="false" customHeight="false" outlineLevel="0" collapsed="false">
      <c r="A53" s="3" t="s">
        <v>87</v>
      </c>
      <c r="B53" s="3" t="str">
        <f aca="false">IF(COUNTIF(Final_CB_F5_V5!$B$2:$B$596,A53)&gt;=1,"YES","NO")</f>
        <v>YES</v>
      </c>
      <c r="C53" s="3" t="s">
        <v>88</v>
      </c>
      <c r="D53" s="3" t="str">
        <f aca="false">IF(COUNTIF(Final_CB_F5_V5!$C$2:$C$596,C53)&gt;=1,"YES","NO")</f>
        <v>YES</v>
      </c>
      <c r="F53" s="4" t="str">
        <f aca="false">IFERROR(__xludf.dummyfunction("""COMPUTED_VALUE"""),"providing::example::when::bug::is::present2")</f>
        <v>providing::example::when::bug::is::present2</v>
      </c>
      <c r="G53" s="4" t="str">
        <f aca="false">IFERROR(__xludf.dummyfunction("""COMPUTED_VALUE"""),"identifying::bug::fixed::elsewhere::(revision::hash)")</f>
        <v>identifying::bug::fixed::elsewhere::(revision::hash)</v>
      </c>
      <c r="H53" s="4" t="str">
        <f aca="false">IFERROR(__xludf.dummyfunction("""COMPUTED_VALUE"""),"justification::of:.the::regression::identified")</f>
        <v>justification::of:.the::regression::identified</v>
      </c>
    </row>
    <row r="54" customFormat="false" ht="15.75" hidden="false" customHeight="false" outlineLevel="0" collapsed="false">
      <c r="A54" s="3" t="s">
        <v>74</v>
      </c>
      <c r="B54" s="3" t="str">
        <f aca="false">IF(COUNTIF(Final_CB_F5_V5!$B$2:$B$596,A54)&gt;=1,"YES","NO")</f>
        <v>YES</v>
      </c>
      <c r="C54" s="3" t="s">
        <v>89</v>
      </c>
      <c r="D54" s="3" t="str">
        <f aca="false">IF(COUNTIF(Final_CB_F5_V5!$C$2:$C$596,C54)&gt;=1,"YES","NO")</f>
        <v>YES</v>
      </c>
      <c r="F54" s="4" t="str">
        <f aca="false">IFERROR(__xludf.dummyfunction("""COMPUTED_VALUE"""),"reason::of::the::bug")</f>
        <v>reason::of::the::bug</v>
      </c>
      <c r="G54" s="4" t="str">
        <f aca="false">IFERROR(__xludf.dummyfunction("""COMPUTED_VALUE"""),"information::commited::fix")</f>
        <v>information::commited::fix</v>
      </c>
      <c r="H54" s="4" t="str">
        <f aca="false">IFERROR(__xludf.dummyfunction("""COMPUTED_VALUE"""),"opening::new:.bug::based::on::previous::discussion")</f>
        <v>opening::new:.bug::based::on::previous::discussion</v>
      </c>
    </row>
    <row r="55" customFormat="false" ht="15.75" hidden="false" customHeight="false" outlineLevel="0" collapsed="false">
      <c r="A55" s="3" t="s">
        <v>76</v>
      </c>
      <c r="B55" s="3" t="str">
        <f aca="false">IF(COUNTIF(Final_CB_F5_V5!$B$2:$B$596,A55)&gt;=1,"YES","NO")</f>
        <v>YES</v>
      </c>
      <c r="C55" s="3" t="s">
        <v>90</v>
      </c>
      <c r="D55" s="3" t="str">
        <f aca="false">IF(COUNTIF(Final_CB_F5_V5!$C$2:$C$596,C55)&gt;=1,"YES","NO")</f>
        <v>YES</v>
      </c>
      <c r="F55" s="4" t="str">
        <f aca="false">IFERROR(__xludf.dummyfunction("""COMPUTED_VALUE"""),"reason::of::why::the::persistent::bug::could::be:.a::different/another::bug")</f>
        <v>reason::of::why::the::persistent::bug::could::be:.a::different/another::bug</v>
      </c>
      <c r="G55" s="4" t="str">
        <f aca="false">IFERROR(__xludf.dummyfunction("""COMPUTED_VALUE"""),"information::related::fix::merged::(no::source)")</f>
        <v>information::related::fix::merged::(no::source)</v>
      </c>
      <c r="H55" s="4" t="str">
        <f aca="false">IFERROR(__xludf.dummyfunction("""COMPUTED_VALUE"""),"presence::of::bug::in::other::branches")</f>
        <v>presence::of::bug::in::other::branches</v>
      </c>
    </row>
    <row r="56" customFormat="false" ht="15.75" hidden="false" customHeight="false" outlineLevel="0" collapsed="false">
      <c r="A56" s="3" t="s">
        <v>91</v>
      </c>
      <c r="B56" s="3" t="str">
        <f aca="false">IF(COUNTIF(Final_CB_F5_V5!$B$2:$B$596,A56)&gt;=1,"YES","NO")</f>
        <v>YES</v>
      </c>
      <c r="C56" s="3" t="s">
        <v>92</v>
      </c>
      <c r="D56" s="3" t="str">
        <f aca="false">IF(COUNTIF(Final_CB_F5_V5!$C$2:$C$596,C56)&gt;=1,"YES","NO")</f>
        <v>YES</v>
      </c>
      <c r="F56" s="4" t="str">
        <f aca="false">IFERROR(__xludf.dummyfunction("""COMPUTED_VALUE"""),"referes::to::mailinglist")</f>
        <v>referes::to::mailinglist</v>
      </c>
      <c r="G56" s="4" t="str">
        <f aca="false">IFERROR(__xludf.dummyfunction("""COMPUTED_VALUE"""),"informing::status::release")</f>
        <v>informing::status::release</v>
      </c>
      <c r="H56" s="4" t="str">
        <f aca="false">IFERROR(__xludf.dummyfunction("""COMPUTED_VALUE"""),"presence::of::bug::in::other::branches::packages")</f>
        <v>presence::of::bug::in::other::branches::packages</v>
      </c>
    </row>
    <row r="57" customFormat="false" ht="15.75" hidden="false" customHeight="false" outlineLevel="0" collapsed="false">
      <c r="A57" s="3" t="s">
        <v>78</v>
      </c>
      <c r="B57" s="3" t="str">
        <f aca="false">IF(COUNTIF(Final_CB_F5_V5!$B$2:$B$596,A57)&gt;=1,"YES","NO")</f>
        <v>YES</v>
      </c>
      <c r="C57" s="3" t="s">
        <v>93</v>
      </c>
      <c r="D57" s="3" t="str">
        <f aca="false">IF(COUNTIF(Final_CB_F5_V5!$C$2:$C$596,C57)&gt;=1,"YES","NO")</f>
        <v>YES</v>
      </c>
      <c r="F57" s="4" t="str">
        <f aca="false">IFERROR(__xludf.dummyfunction("""COMPUTED_VALUE"""),"similar::bug::(link::bug)")</f>
        <v>similar::bug::(link::bug)</v>
      </c>
      <c r="G57" s="4" t="str">
        <f aca="false">IFERROR(__xludf.dummyfunction("""COMPUTED_VALUE"""),"informing::taking::responsibility::for::solving::issue")</f>
        <v>informing::taking::responsibility::for::solving::issue</v>
      </c>
      <c r="H57" s="4" t="str">
        <f aca="false">IFERROR(__xludf.dummyfunction("""COMPUTED_VALUE"""),"proposal::of::a::possible::fix::(debdiff)::not::main::branch::not::nova")</f>
        <v>proposal::of::a::possible::fix::(debdiff)::not::main::branch::not::nova</v>
      </c>
    </row>
    <row r="58" customFormat="false" ht="15.75" hidden="false" customHeight="false" outlineLevel="0" collapsed="false">
      <c r="A58" s="3" t="s">
        <v>80</v>
      </c>
      <c r="B58" s="3" t="str">
        <f aca="false">IF(COUNTIF(Final_CB_F5_V5!$B$2:$B$596,A58)&gt;=1,"YES","NO")</f>
        <v>YES</v>
      </c>
      <c r="C58" s="3" t="s">
        <v>94</v>
      </c>
      <c r="D58" s="3" t="str">
        <f aca="false">IF(COUNTIF(Final_CB_F5_V5!$C$2:$C$596,C58)&gt;=1,"YES","NO")</f>
        <v>YES</v>
      </c>
      <c r="F58" s="4" t="str">
        <f aca="false">IFERROR(__xludf.dummyfunction("""COMPUTED_VALUE"""),"source::of::the::bug")</f>
        <v>source::of::the::bug</v>
      </c>
      <c r="G58" s="4" t="str">
        <f aca="false">IFERROR(__xludf.dummyfunction("""COMPUTED_VALUE"""),"introducing::commit::(link::github)")</f>
        <v>introducing::commit::(link::github)</v>
      </c>
      <c r="H58" s="4" t="str">
        <f aca="false">IFERROR(__xludf.dummyfunction("""COMPUTED_VALUE"""),"proposal::of::a::possible::fix::(link::review2)::not::main:.branch")</f>
        <v>proposal::of::a::possible::fix::(link::review2)::not::main:.branch</v>
      </c>
    </row>
    <row r="59" customFormat="false" ht="15.75" hidden="false" customHeight="false" outlineLevel="0" collapsed="false">
      <c r="A59" s="3" t="s">
        <v>95</v>
      </c>
      <c r="B59" s="3" t="str">
        <f aca="false">IF(COUNTIF(Final_CB_F5_V5!$B$2:$B$596,A59)&gt;=1,"YES","NO")</f>
        <v>YES</v>
      </c>
      <c r="C59" s="3" t="s">
        <v>96</v>
      </c>
      <c r="D59" s="3" t="str">
        <f aca="false">IF(COUNTIF(Final_CB_F5_V5!$C$2:$C$596,C59)&gt;=1,"YES","NO")</f>
        <v>YES</v>
      </c>
      <c r="F59" s="4" t="str">
        <f aca="false">IFERROR(__xludf.dummyfunction("""COMPUTED_VALUE"""),"source::of::the::bug::(changeID)")</f>
        <v>source::of::the::bug::(changeID)</v>
      </c>
      <c r="G59" s="4" t="str">
        <f aca="false">IFERROR(__xludf.dummyfunction("""COMPUTED_VALUE"""),"issues::related::(link::launchpad)")</f>
        <v>issues::related::(link::launchpad)</v>
      </c>
      <c r="H59" s="4" t="str">
        <f aca="false">IFERROR(__xludf.dummyfunction("""COMPUTED_VALUE"""),"proposal::of::a::possible::fix::(link::review4)")</f>
        <v>proposal::of::a::possible::fix::(link::review4)</v>
      </c>
    </row>
    <row r="60" customFormat="false" ht="15.75" hidden="false" customHeight="false" outlineLevel="0" collapsed="false">
      <c r="A60" s="3" t="s">
        <v>81</v>
      </c>
      <c r="B60" s="3" t="str">
        <f aca="false">IF(COUNTIF(Final_CB_F5_V5!$B$2:$B$596,A60)&gt;=1,"YES","NO")</f>
        <v>YES</v>
      </c>
      <c r="C60" s="3" t="s">
        <v>97</v>
      </c>
      <c r="D60" s="3" t="str">
        <f aca="false">IF(COUNTIF(Final_CB_F5_V5!$C$2:$C$596,C60)&gt;=1,"YES","NO")</f>
        <v>YES</v>
      </c>
      <c r="F60" s="4" t="str">
        <f aca="false">IFERROR(__xludf.dummyfunction("""COMPUTED_VALUE"""),"source::of::the::bug::(code::in::text)")</f>
        <v>source::of::the::bug::(code::in::text)</v>
      </c>
      <c r="G60" s="4" t="str">
        <f aca="false">IFERROR(__xludf.dummyfunction("""COMPUTED_VALUE"""),"link::review")</f>
        <v>link::review</v>
      </c>
      <c r="H60" s="4" t="str">
        <f aca="false">IFERROR(__xludf.dummyfunction("""COMPUTED_VALUE"""),"proposal::of::a::possible::fix::(link::review5)")</f>
        <v>proposal::of::a::possible::fix::(link::review5)</v>
      </c>
    </row>
    <row r="61" customFormat="false" ht="15.75" hidden="false" customHeight="false" outlineLevel="0" collapsed="false">
      <c r="A61" s="3" t="s">
        <v>83</v>
      </c>
      <c r="B61" s="3" t="str">
        <f aca="false">IF(COUNTIF(Final_CB_F5_V5!$B$2:$B$596,A61)&gt;=1,"YES","NO")</f>
        <v>YES</v>
      </c>
      <c r="C61" s="3" t="s">
        <v>98</v>
      </c>
      <c r="D61" s="3" t="str">
        <f aca="false">IF(COUNTIF(Final_CB_F5_V5!$C$2:$C$596,C61)&gt;=1,"YES","NO")</f>
        <v>YES</v>
      </c>
      <c r="F61" s="4" t="str">
        <f aca="false">IFERROR(__xludf.dummyfunction("""COMPUTED_VALUE"""),"source::of::the::bug::(file::path)")</f>
        <v>source::of::the::bug::(file::path)</v>
      </c>
      <c r="G61" s="4" t="str">
        <f aca="false">IFERROR(__xludf.dummyfunction("""COMPUTED_VALUE"""),"link::review3")</f>
        <v>link::review3</v>
      </c>
      <c r="H61" s="4" t="str">
        <f aca="false">IFERROR(__xludf.dummyfunction("""COMPUTED_VALUE"""),"proposal::of::a::possible::fix::(package)::not::main::branch")</f>
        <v>proposal::of::a::possible::fix::(package)::not::main::branch</v>
      </c>
    </row>
    <row r="62" customFormat="false" ht="15.75" hidden="false" customHeight="false" outlineLevel="0" collapsed="false">
      <c r="A62" s="3" t="s">
        <v>84</v>
      </c>
      <c r="B62" s="3" t="str">
        <f aca="false">IF(COUNTIF(Final_CB_F5_V5!$B$2:$B$596,A62)&gt;=1,"YES","NO")</f>
        <v>YES</v>
      </c>
      <c r="C62" s="3" t="s">
        <v>99</v>
      </c>
      <c r="D62" s="3" t="str">
        <f aca="false">IF(COUNTIF(Final_CB_F5_V5!$C$2:$C$596,C62)&gt;=1,"YES","NO")</f>
        <v>YES</v>
      </c>
      <c r="F62" s="4" t="str">
        <f aca="false">IFERROR(__xludf.dummyfunction("""COMPUTED_VALUE"""),"source::of::the::bug::(link::review)")</f>
        <v>source::of::the::bug::(link::review)</v>
      </c>
      <c r="G62" s="4" t="str">
        <f aca="false">IFERROR(__xludf.dummyfunction("""COMPUTED_VALUE"""),"link::to::commit::(github)")</f>
        <v>link::to::commit::(github)</v>
      </c>
      <c r="H62" s="4" t="str">
        <f aca="false">IFERROR(__xludf.dummyfunction("""COMPUTED_VALUE"""),"proposal::of::a::possible::related::fix::(link::review)")</f>
        <v>proposal::of::a::possible::related::fix::(link::review)</v>
      </c>
    </row>
    <row r="63" customFormat="false" ht="15.75" hidden="false" customHeight="false" outlineLevel="0" collapsed="false">
      <c r="A63" s="3" t="s">
        <v>88</v>
      </c>
      <c r="B63" s="3" t="str">
        <f aca="false">IF(COUNTIF(Final_CB_F5_V5!$B$2:$B$596,A63)&gt;=1,"YES","NO")</f>
        <v>YES</v>
      </c>
      <c r="C63" s="3" t="s">
        <v>100</v>
      </c>
      <c r="D63" s="3" t="str">
        <f aca="false">IF(COUNTIF(Final_CB_F5_V5!$C$2:$C$596,C63)&gt;=1,"YES","NO")</f>
        <v>YES</v>
      </c>
      <c r="F63" s="4" t="str">
        <f aca="false">IFERROR(__xludf.dummyfunction("""COMPUTED_VALUE"""),"source::of::the::bug::(revision::hash)")</f>
        <v>source::of::the::bug::(revision::hash)</v>
      </c>
      <c r="G63" s="4" t="str">
        <f aca="false">IFERROR(__xludf.dummyfunction("""COMPUTED_VALUE"""),"link::to::file::(github)")</f>
        <v>link::to::file::(github)</v>
      </c>
      <c r="H63" s="4" t="str">
        <f aca="false">IFERROR(__xludf.dummyfunction("""COMPUTED_VALUE"""),"providing::advice::coding")</f>
        <v>providing::advice::coding</v>
      </c>
    </row>
    <row r="64" customFormat="false" ht="15.75" hidden="false" customHeight="false" outlineLevel="0" collapsed="false">
      <c r="A64" s="3" t="s">
        <v>90</v>
      </c>
      <c r="B64" s="3" t="str">
        <f aca="false">IF(COUNTIF(Final_CB_F5_V5!$B$2:$B$596,A64)&gt;=1,"YES","NO")</f>
        <v>YES</v>
      </c>
      <c r="C64" s="3" t="s">
        <v>101</v>
      </c>
      <c r="D64" s="3" t="str">
        <f aca="false">IF(COUNTIF(Final_CB_F5_V5!$C$2:$C$596,C64)&gt;=1,"YES","NO")</f>
        <v>YES</v>
      </c>
      <c r="F64" s="4" t="str">
        <f aca="false">IFERROR(__xludf.dummyfunction("""COMPUTED_VALUE"""),"steps::to::replicate::the::bug")</f>
        <v>steps::to::replicate::the::bug</v>
      </c>
      <c r="G64" s="4" t="str">
        <f aca="false">IFERROR(__xludf.dummyfunction("""COMPUTED_VALUE"""),"link::to::pastebin")</f>
        <v>link::to::pastebin</v>
      </c>
      <c r="H64" s="4" t="str">
        <f aca="false">IFERROR(__xludf.dummyfunction("""COMPUTED_VALUE"""),"providing::clarification::about::the::development::process::(releasing::time)")</f>
        <v>providing::clarification::about::the::development::process::(releasing::time)</v>
      </c>
    </row>
    <row r="65" customFormat="false" ht="15.75" hidden="false" customHeight="false" outlineLevel="0" collapsed="false">
      <c r="A65" s="3" t="s">
        <v>102</v>
      </c>
      <c r="B65" s="3" t="str">
        <f aca="false">IF(COUNTIF(Final_CB_F5_V5!$B$2:$B$596,A65)&gt;=1,"YES","NO")</f>
        <v>YES</v>
      </c>
      <c r="C65" s="3" t="s">
        <v>103</v>
      </c>
      <c r="D65" s="3" t="str">
        <f aca="false">IF(COUNTIF(Final_CB_F5_V5!$C$2:$C$596,C65)&gt;=1,"YES","NO")</f>
        <v>YES</v>
      </c>
      <c r="F65" s="4" t="str">
        <f aca="false">IFERROR(__xludf.dummyfunction("""COMPUTED_VALUE"""),"steps::to::replicate::the::bug::(link::gist)")</f>
        <v>steps::to::replicate::the::bug::(link::gist)</v>
      </c>
      <c r="G65" s="4" t="str">
        <f aca="false">IFERROR(__xludf.dummyfunction("""COMPUTED_VALUE"""),"link::to::review")</f>
        <v>link::to::review</v>
      </c>
      <c r="H65" s="4" t="str">
        <f aca="false">IFERROR(__xludf.dummyfunction("""COMPUTED_VALUE"""),"providing::clarification::about::when::the::bug::is::present")</f>
        <v>providing::clarification::about::when::the::bug::is::present</v>
      </c>
    </row>
    <row r="66" customFormat="false" ht="15.75" hidden="false" customHeight="false" outlineLevel="0" collapsed="false">
      <c r="A66" s="3" t="s">
        <v>96</v>
      </c>
      <c r="B66" s="3" t="str">
        <f aca="false">IF(COUNTIF(Final_CB_F5_V5!$B$2:$B$596,A66)&gt;=1,"YES","NO")</f>
        <v>YES</v>
      </c>
      <c r="C66" s="3" t="s">
        <v>104</v>
      </c>
      <c r="D66" s="3" t="str">
        <f aca="false">IF(COUNTIF(Final_CB_F5_V5!$C$2:$C$596,C66)&gt;=1,"YES","NO")</f>
        <v>YES</v>
      </c>
      <c r="F66" s="4" t="str">
        <f aca="false">IFERROR(__xludf.dummyfunction("""COMPUTED_VALUE"""),"steps::to::replicate::the::bug::(test)")</f>
        <v>steps::to::replicate::the::bug::(test)</v>
      </c>
      <c r="G66" s="4" t="str">
        <f aca="false">IFERROR(__xludf.dummyfunction("""COMPUTED_VALUE"""),"objection::asking::for::examples::when::bug::is::present")</f>
        <v>objection::asking::for::examples::when::bug::is::present</v>
      </c>
      <c r="H66" s="4" t="str">
        <f aca="false">IFERROR(__xludf.dummyfunction("""COMPUTED_VALUE"""),"providing::clarification::expected::behaviour")</f>
        <v>providing::clarification::expected::behaviour</v>
      </c>
    </row>
    <row r="67" customFormat="false" ht="15.75" hidden="false" customHeight="false" outlineLevel="0" collapsed="false">
      <c r="A67" s="3" t="s">
        <v>105</v>
      </c>
      <c r="B67" s="3" t="str">
        <f aca="false">IF(COUNTIF(Final_CB_F5_V5!$B$2:$B$596,A67)&gt;=1,"YES","NO")</f>
        <v>YES</v>
      </c>
      <c r="C67" s="3" t="s">
        <v>106</v>
      </c>
      <c r="D67" s="3" t="str">
        <f aca="false">IF(COUNTIF(Final_CB_F5_V5!$C$2:$C$596,C67)&gt;=1,"YES","NO")</f>
        <v>YES</v>
      </c>
      <c r="F67" s="4" t="str">
        <f aca="false">IFERROR(__xludf.dummyfunction("""COMPUTED_VALUE"""),"subscribing::external::sponsors::for::the::bug")</f>
        <v>subscribing::external::sponsors::for::the::bug</v>
      </c>
      <c r="G67" s="4" t="str">
        <f aca="false">IFERROR(__xludf.dummyfunction("""COMPUTED_VALUE"""),"packages::affected::by::bug")</f>
        <v>packages::affected::by::bug</v>
      </c>
      <c r="H67" s="4" t="str">
        <f aca="false">IFERROR(__xludf.dummyfunction("""COMPUTED_VALUE"""),"question::version::of::software::in::which::the::bug::was::found")</f>
        <v>question::version::of::software::in::which::the::bug::was::found</v>
      </c>
    </row>
    <row r="68" customFormat="false" ht="15.75" hidden="false" customHeight="false" outlineLevel="0" collapsed="false">
      <c r="A68" s="3" t="s">
        <v>107</v>
      </c>
      <c r="B68" s="3" t="str">
        <f aca="false">IF(COUNTIF(Final_CB_F5_V5!$B$2:$B$596,A68)&gt;=1,"YES","NO")</f>
        <v>YES</v>
      </c>
      <c r="C68" s="3" t="s">
        <v>108</v>
      </c>
      <c r="D68" s="3" t="str">
        <f aca="false">IF(COUNTIF(Final_CB_F5_V5!$C$2:$C$596,C68)&gt;=1,"YES","NO")</f>
        <v>YES</v>
      </c>
      <c r="F68" s="4" t="str">
        <f aca="false">IFERROR(__xludf.dummyfunction("""COMPUTED_VALUE"""),"time::used::to::work::on::the::BFC::review")</f>
        <v>time::used::to::work::on::the::BFC::review</v>
      </c>
      <c r="G68" s="4" t="str">
        <f aca="false">IFERROR(__xludf.dummyfunction("""COMPUTED_VALUE"""),"performance::(timeout)")</f>
        <v>performance::(timeout)</v>
      </c>
      <c r="H68" s="4" t="str">
        <f aca="false">IFERROR(__xludf.dummyfunction("""COMPUTED_VALUE"""),"re::opening::bug")</f>
        <v>re::opening::bug</v>
      </c>
    </row>
    <row r="69" customFormat="false" ht="15.75" hidden="false" customHeight="false" outlineLevel="0" collapsed="false">
      <c r="A69" s="3" t="s">
        <v>109</v>
      </c>
      <c r="B69" s="3" t="str">
        <f aca="false">IF(COUNTIF(Final_CB_F5_V5!$B$2:$B$596,A69)&gt;=1,"YES","NO")</f>
        <v>YES</v>
      </c>
      <c r="C69" s="3" t="s">
        <v>110</v>
      </c>
      <c r="D69" s="3" t="str">
        <f aca="false">IF(COUNTIF(Final_CB_F5_V5!$C$2:$C$596,C69)&gt;=1,"YES","NO")</f>
        <v>YES</v>
      </c>
      <c r="F69" s="4" t="str">
        <f aca="false">IFERROR(__xludf.dummyfunction("""COMPUTED_VALUE"""),"unsubscribing::external::sponsors")</f>
        <v>unsubscribing::external::sponsors</v>
      </c>
      <c r="G69" s="4" t="str">
        <f aca="false">IFERROR(__xludf.dummyfunction("""COMPUTED_VALUE"""),"potential::source::of::the::bug::(link::commit)")</f>
        <v>potential::source::of::the::bug::(link::commit)</v>
      </c>
      <c r="H69" s="4" t="str">
        <f aca="false">IFERROR(__xludf.dummyfunction("""COMPUTED_VALUE"""),"reason::for::abandoning::the::change")</f>
        <v>reason::for::abandoning::the::change</v>
      </c>
    </row>
    <row r="70" customFormat="false" ht="15.75" hidden="false" customHeight="false" outlineLevel="0" collapsed="false">
      <c r="A70" s="3" t="s">
        <v>111</v>
      </c>
      <c r="B70" s="3" t="str">
        <f aca="false">IF(COUNTIF(Final_CB_F5_V5!$B$2:$B$596,A70)&gt;=1,"YES","NO")</f>
        <v>YES</v>
      </c>
      <c r="C70" s="3" t="s">
        <v>112</v>
      </c>
      <c r="D70" s="3" t="str">
        <f aca="false">IF(COUNTIF(Final_CB_F5_V5!$C$2:$C$596,C70)&gt;=1,"YES","NO")</f>
        <v>YES</v>
      </c>
      <c r="F70" s="4" t="str">
        <f aca="false">IFERROR(__xludf.dummyfunction("""COMPUTED_VALUE"""),"version::of::elasticsearch:::in::which::the::bug::was::found")</f>
        <v>version::of::elasticsearch:::in::which::the::bug::was::found</v>
      </c>
      <c r="G70" s="4" t="str">
        <f aca="false">IFERROR(__xludf.dummyfunction("""COMPUTED_VALUE"""),"progress::update::fix::(tests::added)")</f>
        <v>progress::update::fix::(tests::added)</v>
      </c>
      <c r="H70" s="4" t="str">
        <f aca="false">IFERROR(__xludf.dummyfunction("""COMPUTED_VALUE"""),"reason::for::abandoning::the::change::(in::favour::of::another::review)")</f>
        <v>reason::for::abandoning::the::change::(in::favour::of::another::review)</v>
      </c>
    </row>
    <row r="71" customFormat="false" ht="15.75" hidden="false" customHeight="false" outlineLevel="0" collapsed="false">
      <c r="A71" s="3" t="s">
        <v>113</v>
      </c>
      <c r="B71" s="3" t="str">
        <f aca="false">IF(COUNTIF(Final_CB_F5_V5!$B$2:$B$596,A71)&gt;=1,"YES","NO")</f>
        <v>YES</v>
      </c>
      <c r="C71" s="3" t="s">
        <v>114</v>
      </c>
      <c r="D71" s="3" t="str">
        <f aca="false">IF(COUNTIF(Final_CB_F5_V5!$C$2:$C$596,C71)&gt;=1,"YES","NO")</f>
        <v>YES</v>
      </c>
      <c r="F71" s="4" t="str">
        <f aca="false">IFERROR(__xludf.dummyfunction("""COMPUTED_VALUE"""),"version::of::nova:::in::which::the::bug::was::found")</f>
        <v>version::of::nova:::in::which::the::bug::was::found</v>
      </c>
      <c r="G71" s="4" t="str">
        <f aca="false">IFERROR(__xludf.dummyfunction("""COMPUTED_VALUE"""),"proposal::of::a::possible::fix::(link::review1)")</f>
        <v>proposal::of::a::possible::fix::(link::review1)</v>
      </c>
      <c r="H71" s="4" t="str">
        <f aca="false">IFERROR(__xludf.dummyfunction("""COMPUTED_VALUE"""),"reason::for::abandoning::the::change::not::main::branch::(not::longer::needed)")</f>
        <v>reason::for::abandoning::the::change::not::main::branch::(not::longer::needed)</v>
      </c>
    </row>
    <row r="72" customFormat="false" ht="15.75" hidden="false" customHeight="false" outlineLevel="0" collapsed="false">
      <c r="A72" s="3" t="s">
        <v>115</v>
      </c>
      <c r="B72" s="3" t="str">
        <f aca="false">IF(COUNTIF(Final_CB_F5_V5!$B$2:$B$596,A72)&gt;=1,"YES","NO")</f>
        <v>YES</v>
      </c>
      <c r="C72" s="3" t="s">
        <v>116</v>
      </c>
      <c r="D72" s="3" t="str">
        <f aca="false">IF(COUNTIF(Final_CB_F5_V5!$C$2:$C$596,C72)&gt;=1,"YES","NO")</f>
        <v>YES</v>
      </c>
      <c r="F72" s="4" t="str">
        <f aca="false">IFERROR(__xludf.dummyfunction("""COMPUTED_VALUE"""),"version::of::operating::system::affected")</f>
        <v>version::of::operating::system::affected</v>
      </c>
      <c r="G72" s="4" t="str">
        <f aca="false">IFERROR(__xludf.dummyfunction("""COMPUTED_VALUE"""),"proposal::of::a::possible::fix::(link::review1)::not::main::branch")</f>
        <v>proposal::of::a::possible::fix::(link::review1)::not::main::branch</v>
      </c>
      <c r="H72" s="4" t="str">
        <f aca="false">IFERROR(__xludf.dummyfunction("""COMPUTED_VALUE"""),"reason::for::abandoning::the::change1")</f>
        <v>reason::for::abandoning::the::change1</v>
      </c>
    </row>
    <row r="73" customFormat="false" ht="15.75" hidden="false" customHeight="false" outlineLevel="0" collapsed="false">
      <c r="A73" s="3" t="s">
        <v>117</v>
      </c>
      <c r="B73" s="3" t="str">
        <f aca="false">IF(COUNTIF(Final_CB_F5_V5!$B$2:$B$596,A73)&gt;=1,"YES","NO")</f>
        <v>YES</v>
      </c>
      <c r="C73" s="3" t="s">
        <v>118</v>
      </c>
      <c r="D73" s="3" t="str">
        <f aca="false">IF(COUNTIF(Final_CB_F5_V5!$C$2:$C$596,C73)&gt;=1,"YES","NO")</f>
        <v>YES</v>
      </c>
      <c r="F73" s="4" t="str">
        <f aca="false">IFERROR(__xludf.dummyfunction("""COMPUTED_VALUE"""),"what::is::the::bug::causing")</f>
        <v>what::is::the::bug::causing</v>
      </c>
      <c r="G73" s="4" t="str">
        <f aca="false">IFERROR(__xludf.dummyfunction("""COMPUTED_VALUE"""),"proposal::of::a::possible::fix::(link::review3)::not::main::branch")</f>
        <v>proposal::of::a::possible::fix::(link::review3)::not::main::branch</v>
      </c>
      <c r="H73" s="4" t="str">
        <f aca="false">IFERROR(__xludf.dummyfunction("""COMPUTED_VALUE"""),"reason::for::abandoning::the::change2")</f>
        <v>reason::for::abandoning::the::change2</v>
      </c>
    </row>
    <row r="74" customFormat="false" ht="15.75" hidden="false" customHeight="false" outlineLevel="0" collapsed="false">
      <c r="A74" s="3" t="s">
        <v>119</v>
      </c>
      <c r="B74" s="3" t="str">
        <f aca="false">IF(COUNTIF(Final_CB_F5_V5!$B$2:$B$596,A74)&gt;=1,"YES","NO")</f>
        <v>YES</v>
      </c>
      <c r="C74" s="3" t="s">
        <v>120</v>
      </c>
      <c r="D74" s="3" t="str">
        <f aca="false">IF(COUNTIF(Final_CB_F5_V5!$C$2:$C$596,C74)&gt;=1,"YES","NO")</f>
        <v>YES</v>
      </c>
      <c r="F74" s="4" t="str">
        <f aca="false">IFERROR(__xludf.dummyfunction("""COMPUTED_VALUE"""),"when::is::the::bug::present")</f>
        <v>when::is::the::bug::present</v>
      </c>
      <c r="G74" s="4" t="str">
        <f aca="false">IFERROR(__xludf.dummyfunction("""COMPUTED_VALUE"""),"proposal::of::a::possible::fix::(link::review5)::not::main::branch")</f>
        <v>proposal::of::a::possible::fix::(link::review5)::not::main::branch</v>
      </c>
      <c r="H74" s="4" t="str">
        <f aca="false">IFERROR(__xludf.dummyfunction("""COMPUTED_VALUE"""),"reason::for::abandoning::the::change3")</f>
        <v>reason::for::abandoning::the::change3</v>
      </c>
    </row>
    <row r="75" customFormat="false" ht="15.75" hidden="false" customHeight="false" outlineLevel="0" collapsed="false">
      <c r="A75" s="3" t="s">
        <v>121</v>
      </c>
      <c r="B75" s="3" t="str">
        <f aca="false">IF(COUNTIF(Final_CB_F5_V5!$B$2:$B$596,A75)&gt;=1,"YES","NO")</f>
        <v>YES</v>
      </c>
      <c r="C75" s="3" t="s">
        <v>122</v>
      </c>
      <c r="D75" s="3" t="str">
        <f aca="false">IF(COUNTIF(Final_CB_F5_V5!$C$2:$C$596,C75)&gt;=1,"YES","NO")</f>
        <v>YES</v>
      </c>
      <c r="G75" s="4" t="str">
        <f aca="false">IFERROR(__xludf.dummyfunction("""COMPUTED_VALUE"""),"proposal::of::a::possible::fix::(PR)")</f>
        <v>proposal::of::a::possible::fix::(PR)</v>
      </c>
      <c r="H75" s="4" t="str">
        <f aca="false">IFERROR(__xludf.dummyfunction("""COMPUTED_VALUE"""),"reason::of::the::bug::disagreeing::with::previous::given::reason")</f>
        <v>reason::of::the::bug::disagreeing::with::previous::given::reason</v>
      </c>
    </row>
    <row r="76" customFormat="false" ht="15.75" hidden="false" customHeight="false" outlineLevel="0" collapsed="false">
      <c r="A76" s="3" t="s">
        <v>123</v>
      </c>
      <c r="B76" s="3" t="str">
        <f aca="false">IF(COUNTIF(Final_CB_F5_V5!$B$2:$B$596,A76)&gt;=1,"YES","NO")</f>
        <v>YES</v>
      </c>
      <c r="C76" s="3" t="s">
        <v>124</v>
      </c>
      <c r="D76" s="3" t="str">
        <f aca="false">IF(COUNTIF(Final_CB_F5_V5!$C$2:$C$596,C76)&gt;=1,"YES","NO")</f>
        <v>YES</v>
      </c>
      <c r="G76" s="4" t="str">
        <f aca="false">IFERROR(__xludf.dummyfunction("""COMPUTED_VALUE"""),"proposal::of::a::related::fix::(link::review1)")</f>
        <v>proposal::of::a::related::fix::(link::review1)</v>
      </c>
      <c r="H76" s="4" t="str">
        <f aca="false">IFERROR(__xludf.dummyfunction("""COMPUTED_VALUE"""),"reason::of::the::continuation::of::bug::after::fix")</f>
        <v>reason::of::the::continuation::of::bug::after::fix</v>
      </c>
    </row>
    <row r="77" customFormat="false" ht="15.75" hidden="false" customHeight="false" outlineLevel="0" collapsed="false">
      <c r="A77" s="3" t="s">
        <v>125</v>
      </c>
      <c r="B77" s="3" t="str">
        <f aca="false">IF(COUNTIF(Final_CB_F5_V5!$B$2:$B$596,A77)&gt;=1,"YES","NO")</f>
        <v>YES</v>
      </c>
      <c r="C77" s="3" t="s">
        <v>126</v>
      </c>
      <c r="D77" s="3" t="str">
        <f aca="false">IF(COUNTIF(Final_CB_F5_V5!$C$2:$C$596,C77)&gt;=1,"YES","NO")</f>
        <v>YES</v>
      </c>
      <c r="G77" s="4" t="str">
        <f aca="false">IFERROR(__xludf.dummyfunction("""COMPUTED_VALUE"""),"proposal::of::a::related::fix::(link::review2)")</f>
        <v>proposal::of::a::related::fix::(link::review2)</v>
      </c>
      <c r="H77" s="4" t="str">
        <f aca="false">IFERROR(__xludf.dummyfunction("""COMPUTED_VALUE"""),"reason::of::the::regression")</f>
        <v>reason::of::the::regression</v>
      </c>
    </row>
    <row r="78" customFormat="false" ht="15.75" hidden="false" customHeight="false" outlineLevel="0" collapsed="false">
      <c r="A78" s="3" t="s">
        <v>127</v>
      </c>
      <c r="B78" s="3" t="str">
        <f aca="false">IF(COUNTIF(Final_CB_F5_V5!$B$2:$B$596,A78)&gt;=1,"YES","NO")</f>
        <v>YES</v>
      </c>
      <c r="C78" s="3" t="s">
        <v>128</v>
      </c>
      <c r="D78" s="3" t="str">
        <f aca="false">IF(COUNTIF(Final_CB_F5_V5!$C$2:$C$596,C78)&gt;=1,"YES","NO")</f>
        <v>YES</v>
      </c>
      <c r="G78" s="4" t="str">
        <f aca="false">IFERROR(__xludf.dummyfunction("""COMPUTED_VALUE"""),"proposal::of::a::related::fix::(link::review3)")</f>
        <v>proposal::of::a::related::fix::(link::review3)</v>
      </c>
      <c r="H78" s="4" t="str">
        <f aca="false">IFERROR(__xludf.dummyfunction("""COMPUTED_VALUE"""),"reason::why::the::suggested::solution::for::regression::can::not::be::conducted")</f>
        <v>reason::why::the::suggested::solution::for::regression::can::not::be::conducted</v>
      </c>
    </row>
    <row r="79" customFormat="false" ht="15.75" hidden="false" customHeight="false" outlineLevel="0" collapsed="false">
      <c r="A79" s="3" t="s">
        <v>129</v>
      </c>
      <c r="B79" s="3" t="str">
        <f aca="false">IF(COUNTIF(Final_CB_F5_V5!$B$2:$B$596,A79)&gt;=1,"YES","NO")</f>
        <v>YES</v>
      </c>
      <c r="C79" s="3" t="s">
        <v>130</v>
      </c>
      <c r="D79" s="3" t="str">
        <f aca="false">IF(COUNTIF(Final_CB_F5_V5!$C$2:$C$596,C79)&gt;=1,"YES","NO")</f>
        <v>YES</v>
      </c>
      <c r="G79" s="4" t="str">
        <f aca="false">IFERROR(__xludf.dummyfunction("""COMPUTED_VALUE"""),"proposal::of::a::related::fix::(link::review4)")</f>
        <v>proposal::of::a::related::fix::(link::review4)</v>
      </c>
      <c r="H79" s="4" t="str">
        <f aca="false">IFERROR(__xludf.dummyfunction("""COMPUTED_VALUE"""),"regression::identified::while::solving::the::bug")</f>
        <v>regression::identified::while::solving::the::bug</v>
      </c>
    </row>
    <row r="80" customFormat="false" ht="15.75" hidden="false" customHeight="false" outlineLevel="0" collapsed="false">
      <c r="A80" s="3" t="s">
        <v>131</v>
      </c>
      <c r="B80" s="3" t="str">
        <f aca="false">IF(COUNTIF(Final_CB_F5_V5!$B$2:$B$596,A80)&gt;=1,"YES","NO")</f>
        <v>YES</v>
      </c>
      <c r="C80" s="3" t="s">
        <v>132</v>
      </c>
      <c r="D80" s="3" t="str">
        <f aca="false">IF(COUNTIF(Final_CB_F5_V5!$C$2:$C$596,C80)&gt;=1,"YES","NO")</f>
        <v>YES</v>
      </c>
      <c r="G80" s="4" t="str">
        <f aca="false">IFERROR(__xludf.dummyfunction("""COMPUTED_VALUE"""),"proposes::refactoring")</f>
        <v>proposes::refactoring</v>
      </c>
      <c r="H80" s="4" t="str">
        <f aca="false">IFERROR(__xludf.dummyfunction("""COMPUTED_VALUE"""),"related::release::hash::commit")</f>
        <v>related::release::hash::commit</v>
      </c>
    </row>
    <row r="81" customFormat="false" ht="15.75" hidden="false" customHeight="false" outlineLevel="0" collapsed="false">
      <c r="A81" s="3" t="s">
        <v>133</v>
      </c>
      <c r="B81" s="3" t="str">
        <f aca="false">IF(COUNTIF(Final_CB_F5_V5!$B$2:$B$596,A81)&gt;=1,"YES","NO")</f>
        <v>YES</v>
      </c>
      <c r="C81" s="3" t="s">
        <v>134</v>
      </c>
      <c r="D81" s="3" t="str">
        <f aca="false">IF(COUNTIF(Final_CB_F5_V5!$C$2:$C$596,C81)&gt;=1,"YES","NO")</f>
        <v>YES</v>
      </c>
      <c r="G81" s="4" t="str">
        <f aca="false">IFERROR(__xludf.dummyfunction("""COMPUTED_VALUE"""),"proposes::workaround::(diff::in::text)")</f>
        <v>proposes::workaround::(diff::in::text)</v>
      </c>
      <c r="H81" s="4" t="str">
        <f aca="false">IFERROR(__xludf.dummyfunction("""COMPUTED_VALUE"""),"relevance::of::previous::attachments")</f>
        <v>relevance::of::previous::attachments</v>
      </c>
    </row>
    <row r="82" customFormat="false" ht="15.75" hidden="false" customHeight="false" outlineLevel="0" collapsed="false">
      <c r="A82" s="3" t="s">
        <v>135</v>
      </c>
      <c r="B82" s="3" t="str">
        <f aca="false">IF(COUNTIF(Final_CB_F5_V5!$B$2:$B$596,A82)&gt;=1,"YES","NO")</f>
        <v>YES</v>
      </c>
      <c r="C82" s="3" t="s">
        <v>136</v>
      </c>
      <c r="D82" s="3" t="str">
        <f aca="false">IF(COUNTIF(Final_CB_F5_V5!$C$2:$C$596,C82)&gt;=1,"YES","NO")</f>
        <v>YES</v>
      </c>
      <c r="G82" s="4" t="str">
        <f aca="false">IFERROR(__xludf.dummyfunction("""COMPUTED_VALUE"""),"providing::clarification::(culprit::regression)")</f>
        <v>providing::clarification::(culprit::regression)</v>
      </c>
      <c r="H82" s="4" t="str">
        <f aca="false">IFERROR(__xludf.dummyfunction("""COMPUTED_VALUE"""),"request::steps::for::reproducing")</f>
        <v>request::steps::for::reproducing</v>
      </c>
    </row>
    <row r="83" customFormat="false" ht="15.75" hidden="false" customHeight="false" outlineLevel="0" collapsed="false">
      <c r="A83" s="3" t="s">
        <v>100</v>
      </c>
      <c r="B83" s="3" t="str">
        <f aca="false">IF(COUNTIF(Final_CB_F5_V5!$B$2:$B$596,A83)&gt;=1,"YES","NO")</f>
        <v>YES</v>
      </c>
      <c r="C83" s="3" t="s">
        <v>137</v>
      </c>
      <c r="D83" s="3" t="str">
        <f aca="false">IF(COUNTIF(Final_CB_F5_V5!$C$2:$C$596,C83)&gt;=1,"YES","NO")</f>
        <v>YES</v>
      </c>
      <c r="G83" s="4" t="str">
        <f aca="false">IFERROR(__xludf.dummyfunction("""COMPUTED_VALUE"""),"providing::clarification::expected::behaboiur")</f>
        <v>providing::clarification::expected::behaboiur</v>
      </c>
      <c r="H83" s="4" t="str">
        <f aca="false">IFERROR(__xludf.dummyfunction("""COMPUTED_VALUE"""),"request::to::check::if::an::attached::review::solve::the::bug")</f>
        <v>request::to::check::if::an::attached::review::solve::the::bug</v>
      </c>
    </row>
    <row r="84" customFormat="false" ht="15.75" hidden="false" customHeight="false" outlineLevel="0" collapsed="false">
      <c r="A84" s="3" t="s">
        <v>138</v>
      </c>
      <c r="B84" s="3" t="str">
        <f aca="false">IF(COUNTIF(Final_CB_F5_V5!$B$2:$B$596,A84)&gt;=1,"YES","NO")</f>
        <v>YES</v>
      </c>
      <c r="C84" s="3" t="s">
        <v>139</v>
      </c>
      <c r="D84" s="3" t="str">
        <f aca="false">IF(COUNTIF(Final_CB_F5_V5!$C$2:$C$596,C84)&gt;=1,"YES","NO")</f>
        <v>YES</v>
      </c>
      <c r="G84" s="4" t="str">
        <f aca="false">IFERROR(__xludf.dummyfunction("""COMPUTED_VALUE"""),"providing::example::when::bug::is::present1")</f>
        <v>providing::example::when::bug::is::present1</v>
      </c>
      <c r="H84" s="4" t="str">
        <f aca="false">IFERROR(__xludf.dummyfunction("""COMPUTED_VALUE"""),"review::not::label::as::fix")</f>
        <v>review::not::label::as::fix</v>
      </c>
    </row>
    <row r="85" customFormat="false" ht="15.75" hidden="false" customHeight="false" outlineLevel="0" collapsed="false">
      <c r="A85" s="3" t="s">
        <v>140</v>
      </c>
      <c r="B85" s="3" t="str">
        <f aca="false">IF(COUNTIF(Final_CB_F5_V5!$B$2:$B$596,A85)&gt;=1,"YES","NO")</f>
        <v>YES</v>
      </c>
      <c r="C85" s="3" t="s">
        <v>141</v>
      </c>
      <c r="D85" s="3" t="str">
        <f aca="false">IF(COUNTIF(Final_CB_F5_V5!$C$2:$C$596,C85)&gt;=1,"YES","NO")</f>
        <v>YES</v>
      </c>
      <c r="G85" s="4" t="str">
        <f aca="false">IFERROR(__xludf.dummyfunction("""COMPUTED_VALUE"""),"regression::identified")</f>
        <v>regression::identified</v>
      </c>
      <c r="H85" s="4" t="str">
        <f aca="false">IFERROR(__xludf.dummyfunction("""COMPUTED_VALUE"""),"some::version::of::the::software::where::it::was::identified::and::in::which::not")</f>
        <v>some::version::of::the::software::where::it::was::identified::and::in::which::not</v>
      </c>
    </row>
    <row r="86" customFormat="false" ht="15.75" hidden="false" customHeight="false" outlineLevel="0" collapsed="false">
      <c r="A86" s="3" t="s">
        <v>142</v>
      </c>
      <c r="B86" s="3" t="str">
        <f aca="false">IF(COUNTIF(Final_CB_F5_V5!$B$2:$B$596,A86)&gt;=1,"YES","NO")</f>
        <v>YES</v>
      </c>
      <c r="C86" s="3" t="s">
        <v>143</v>
      </c>
      <c r="D86" s="3" t="str">
        <f aca="false">IF(COUNTIF(Final_CB_F5_V5!$C$2:$C$596,C86)&gt;=1,"YES","NO")</f>
        <v>YES</v>
      </c>
      <c r="G86" s="4" t="str">
        <f aca="false">IFERROR(__xludf.dummyfunction("""COMPUTED_VALUE"""),"reminder::bug::status::(still::active)")</f>
        <v>reminder::bug::status::(still::active)</v>
      </c>
      <c r="H86" s="4" t="str">
        <f aca="false">IFERROR(__xludf.dummyfunction("""COMPUTED_VALUE"""),"source::of::the::bug::(link::blame)")</f>
        <v>source::of::the::bug::(link::blame)</v>
      </c>
    </row>
    <row r="87" customFormat="false" ht="15.75" hidden="false" customHeight="false" outlineLevel="0" collapsed="false">
      <c r="A87" s="3" t="s">
        <v>144</v>
      </c>
      <c r="B87" s="3" t="str">
        <f aca="false">IF(COUNTIF(Final_CB_F5_V5!$B$2:$B$596,A87)&gt;=1,"YES","NO")</f>
        <v>YES</v>
      </c>
      <c r="C87" s="3" t="s">
        <v>145</v>
      </c>
      <c r="D87" s="3" t="str">
        <f aca="false">IF(COUNTIF(Final_CB_F5_V5!$C$2:$C$596,C87)&gt;=1,"YES","NO")</f>
        <v>YES</v>
      </c>
      <c r="G87" s="4" t="str">
        <f aca="false">IFERROR(__xludf.dummyfunction("""COMPUTED_VALUE"""),"request::confimation::that::the::bug::is::duplicated::and::fixed")</f>
        <v>request::confimation::that::the::bug::is::duplicated::and::fixed</v>
      </c>
      <c r="H87" s="4" t="str">
        <f aca="false">IFERROR(__xludf.dummyfunction("""COMPUTED_VALUE"""),"source::of::the::bug::(link::commit)")</f>
        <v>source::of::the::bug::(link::commit)</v>
      </c>
    </row>
    <row r="88" customFormat="false" ht="15.75" hidden="false" customHeight="false" outlineLevel="0" collapsed="false">
      <c r="A88" s="3" t="s">
        <v>130</v>
      </c>
      <c r="B88" s="3" t="str">
        <f aca="false">IF(COUNTIF(Final_CB_F5_V5!$B$2:$B$596,A88)&gt;=1,"YES","NO")</f>
        <v>YES</v>
      </c>
      <c r="C88" s="3" t="s">
        <v>146</v>
      </c>
      <c r="D88" s="3" t="str">
        <f aca="false">IF(COUNTIF(Final_CB_F5_V5!$C$2:$C$596,C88)&gt;=1,"YES","NO")</f>
        <v>YES</v>
      </c>
      <c r="G88" s="4" t="str">
        <f aca="false">IFERROR(__xludf.dummyfunction("""COMPUTED_VALUE"""),"request::steps::for::reproducing::(more::information)")</f>
        <v>request::steps::for::reproducing::(more::information)</v>
      </c>
      <c r="H88" s="4" t="str">
        <f aca="false">IFERROR(__xludf.dummyfunction("""COMPUTED_VALUE"""),"source::of::the::bug::(link::repo)")</f>
        <v>source::of::the::bug::(link::repo)</v>
      </c>
    </row>
    <row r="89" customFormat="false" ht="15.75" hidden="false" customHeight="false" outlineLevel="0" collapsed="false">
      <c r="A89" s="3" t="s">
        <v>147</v>
      </c>
      <c r="B89" s="3" t="str">
        <f aca="false">IF(COUNTIF(Final_CB_F5_V5!$B$2:$B$596,A89)&gt;=1,"YES","NO")</f>
        <v>YES</v>
      </c>
      <c r="C89" s="3" t="s">
        <v>148</v>
      </c>
      <c r="D89" s="3" t="str">
        <f aca="false">IF(COUNTIF(Final_CB_F5_V5!$C$2:$C$596,C89)&gt;=1,"YES","NO")</f>
        <v>YES</v>
      </c>
      <c r="G89" s="4" t="str">
        <f aca="false">IFERROR(__xludf.dummyfunction("""COMPUTED_VALUE"""),"response::arguing::issue::fixed")</f>
        <v>response::arguing::issue::fixed</v>
      </c>
      <c r="H89" s="4" t="str">
        <f aca="false">IFERROR(__xludf.dummyfunction("""COMPUTED_VALUE"""),"source::of::the::continuation::of::bug::after::fix")</f>
        <v>source::of::the::continuation::of::bug::after::fix</v>
      </c>
    </row>
    <row r="90" customFormat="false" ht="15.75" hidden="false" customHeight="false" outlineLevel="0" collapsed="false">
      <c r="A90" s="3" t="s">
        <v>149</v>
      </c>
      <c r="B90" s="3" t="str">
        <f aca="false">IF(COUNTIF(Final_CB_F5_V5!$B$2:$B$596,A90)&gt;=1,"YES","NO")</f>
        <v>YES</v>
      </c>
      <c r="C90" s="3" t="s">
        <v>150</v>
      </c>
      <c r="D90" s="3" t="str">
        <f aca="false">IF(COUNTIF(Final_CB_F5_V5!$C$2:$C$596,C90)&gt;=1,"YES","NO")</f>
        <v>YES</v>
      </c>
      <c r="G90" s="4" t="str">
        <f aca="false">IFERROR(__xludf.dummyfunction("""COMPUTED_VALUE"""),"response::arguing::issue::not::fixed")</f>
        <v>response::arguing::issue::not::fixed</v>
      </c>
      <c r="H90" s="4" t="str">
        <f aca="false">IFERROR(__xludf.dummyfunction("""COMPUTED_VALUE"""),"source::of::the::continuation::of::bug::after::fix3")</f>
        <v>source::of::the::continuation::of::bug::after::fix3</v>
      </c>
    </row>
    <row r="91" customFormat="false" ht="15.75" hidden="false" customHeight="false" outlineLevel="0" collapsed="false">
      <c r="A91" s="3" t="s">
        <v>151</v>
      </c>
      <c r="B91" s="3" t="str">
        <f aca="false">IF(COUNTIF(Final_CB_F5_V5!$B$2:$B$596,A91)&gt;=1,"YES","NO")</f>
        <v>YES</v>
      </c>
      <c r="C91" s="3" t="s">
        <v>152</v>
      </c>
      <c r="D91" s="3" t="str">
        <f aca="false">IF(COUNTIF(Final_CB_F5_V5!$C$2:$C$596,C91)&gt;=1,"YES","NO")</f>
        <v>YES</v>
      </c>
      <c r="G91" s="4" t="str">
        <f aca="false">IFERROR(__xludf.dummyfunction("""COMPUTED_VALUE"""),"response::confirming::issue::existence")</f>
        <v>response::confirming::issue::existence</v>
      </c>
      <c r="H91" s="4" t="str">
        <f aca="false">IFERROR(__xludf.dummyfunction("""COMPUTED_VALUE"""),"source::of::the::regression::(link::repo)")</f>
        <v>source::of::the::regression::(link::repo)</v>
      </c>
    </row>
    <row r="92" customFormat="false" ht="15.75" hidden="false" customHeight="false" outlineLevel="0" collapsed="false">
      <c r="A92" s="3" t="s">
        <v>137</v>
      </c>
      <c r="B92" s="3" t="str">
        <f aca="false">IF(COUNTIF(Final_CB_F5_V5!$B$2:$B$596,A92)&gt;=1,"YES","NO")</f>
        <v>YES</v>
      </c>
      <c r="C92" s="3" t="s">
        <v>153</v>
      </c>
      <c r="D92" s="3" t="str">
        <f aca="false">IF(COUNTIF(Final_CB_F5_V5!$C$2:$C$596,C92)&gt;=1,"YES","NO")</f>
        <v>YES</v>
      </c>
      <c r="G92" s="4" t="str">
        <f aca="false">IFERROR(__xludf.dummyfunction("""COMPUTED_VALUE"""),"response::confirms::workaround::working")</f>
        <v>response::confirms::workaround::working</v>
      </c>
      <c r="H92" s="4" t="str">
        <f aca="false">IFERROR(__xludf.dummyfunction("""COMPUTED_VALUE"""),"source::of::the::regression::(link::review)")</f>
        <v>source::of::the::regression::(link::review)</v>
      </c>
    </row>
    <row r="93" customFormat="false" ht="15.75" hidden="false" customHeight="false" outlineLevel="0" collapsed="false">
      <c r="A93" s="3" t="s">
        <v>141</v>
      </c>
      <c r="B93" s="3" t="str">
        <f aca="false">IF(COUNTIF(Final_CB_F5_V5!$B$2:$B$596,A93)&gt;=1,"YES","NO")</f>
        <v>YES</v>
      </c>
      <c r="C93" s="3" t="s">
        <v>154</v>
      </c>
      <c r="D93" s="3" t="str">
        <f aca="false">IF(COUNTIF(Final_CB_F5_V5!$C$2:$C$596,C93)&gt;=1,"YES","NO")</f>
        <v>YES</v>
      </c>
      <c r="G93" s="4" t="str">
        <f aca="false">IFERROR(__xludf.dummyfunction("""COMPUTED_VALUE"""),"situation::where::the::bug::appears")</f>
        <v>situation::where::the::bug::appears</v>
      </c>
      <c r="H93" s="4" t="str">
        <f aca="false">IFERROR(__xludf.dummyfunction("""COMPUTED_VALUE"""),"status::of::the::patch/review")</f>
        <v>status::of::the::patch/review</v>
      </c>
    </row>
    <row r="94" customFormat="false" ht="15.75" hidden="false" customHeight="false" outlineLevel="0" collapsed="false">
      <c r="A94" s="3" t="s">
        <v>155</v>
      </c>
      <c r="B94" s="3" t="str">
        <f aca="false">IF(COUNTIF(Final_CB_F5_V5!$B$2:$B$596,A94)&gt;=1,"YES","NO")</f>
        <v>YES</v>
      </c>
      <c r="C94" s="3" t="s">
        <v>156</v>
      </c>
      <c r="D94" s="3" t="str">
        <f aca="false">IF(COUNTIF(Final_CB_F5_V5!$C$2:$C$596,C94)&gt;=1,"YES","NO")</f>
        <v>YES</v>
      </c>
      <c r="G94" s="4" t="str">
        <f aca="false">IFERROR(__xludf.dummyfunction("""COMPUTED_VALUE"""),"solution::found")</f>
        <v>solution::found</v>
      </c>
      <c r="H94" s="4" t="str">
        <f aca="false">IFERROR(__xludf.dummyfunction("""COMPUTED_VALUE"""),"steps::to::replicate::the::bug::(link::tool)")</f>
        <v>steps::to::replicate::the::bug::(link::tool)</v>
      </c>
    </row>
    <row r="95" customFormat="false" ht="15.75" hidden="false" customHeight="false" outlineLevel="0" collapsed="false">
      <c r="A95" s="3" t="s">
        <v>157</v>
      </c>
      <c r="B95" s="3" t="str">
        <f aca="false">IF(COUNTIF(Final_CB_F5_V5!$B$2:$B$596,A95)&gt;=1,"YES","NO")</f>
        <v>YES</v>
      </c>
      <c r="C95" s="3" t="s">
        <v>158</v>
      </c>
      <c r="D95" s="3" t="str">
        <f aca="false">IF(COUNTIF(Final_CB_F5_V5!$C$2:$C$596,C95)&gt;=1,"YES","NO")</f>
        <v>YES</v>
      </c>
      <c r="G95" s="4" t="str">
        <f aca="false">IFERROR(__xludf.dummyfunction("""COMPUTED_VALUE"""),"source::of::the::bug::(diff::in::text)")</f>
        <v>source::of::the::bug::(diff::in::text)</v>
      </c>
      <c r="H95" s="4" t="str">
        <f aca="false">IFERROR(__xludf.dummyfunction("""COMPUTED_VALUE"""),"where::bug::appears")</f>
        <v>where::bug::appears</v>
      </c>
    </row>
    <row r="96" customFormat="false" ht="15.75" hidden="false" customHeight="false" outlineLevel="0" collapsed="false">
      <c r="A96" s="3" t="s">
        <v>159</v>
      </c>
      <c r="B96" s="3" t="str">
        <f aca="false">IF(COUNTIF(Final_CB_F5_V5!$B$2:$B$596,A96)&gt;=1,"YES","NO")</f>
        <v>YES</v>
      </c>
      <c r="C96" s="3" t="s">
        <v>160</v>
      </c>
      <c r="D96" s="3" t="str">
        <f aca="false">IF(COUNTIF(Final_CB_F5_V5!$C$2:$C$596,C96)&gt;=1,"YES","NO")</f>
        <v>YES</v>
      </c>
      <c r="G96" s="4" t="str">
        <f aca="false">IFERROR(__xludf.dummyfunction("""COMPUTED_VALUE"""),"source::of::the::bug::(refactoring)")</f>
        <v>source::of::the::bug::(refactoring)</v>
      </c>
      <c r="H96" s="4"/>
    </row>
    <row r="97" customFormat="false" ht="15.75" hidden="false" customHeight="false" outlineLevel="0" collapsed="false">
      <c r="A97" s="3" t="s">
        <v>161</v>
      </c>
      <c r="B97" s="3" t="str">
        <f aca="false">IF(COUNTIF(Final_CB_F5_V5!$B$2:$B$596,A97)&gt;=1,"YES","NO")</f>
        <v>YES</v>
      </c>
      <c r="C97" s="3" t="s">
        <v>162</v>
      </c>
      <c r="D97" s="3" t="str">
        <f aca="false">IF(COUNTIF(Final_CB_F5_V5!$C$2:$C$596,C97)&gt;=1,"YES","NO")</f>
        <v>YES</v>
      </c>
      <c r="G97" s="4" t="str">
        <f aca="false">IFERROR(__xludf.dummyfunction("""COMPUTED_VALUE"""),"steps::to::replicate::the::bug::(low::detail)")</f>
        <v>steps::to::replicate::the::bug::(low::detail)</v>
      </c>
      <c r="H97" s="4"/>
    </row>
    <row r="98" customFormat="false" ht="15.75" hidden="false" customHeight="false" outlineLevel="0" collapsed="false">
      <c r="A98" s="3" t="s">
        <v>163</v>
      </c>
      <c r="B98" s="3" t="str">
        <f aca="false">IF(COUNTIF(Final_CB_F5_V5!$B$2:$B$596,A98)&gt;=1,"YES","NO")</f>
        <v>YES</v>
      </c>
      <c r="C98" s="3" t="s">
        <v>164</v>
      </c>
      <c r="D98" s="3" t="str">
        <f aca="false">IF(COUNTIF(Final_CB_F5_V5!$C$2:$C$596,C98)&gt;=1,"YES","NO")</f>
        <v>YES</v>
      </c>
      <c r="G98" s="4" t="str">
        <f aca="false">IFERROR(__xludf.dummyfunction("""COMPUTED_VALUE"""),"suggests::documentation")</f>
        <v>suggests::documentation</v>
      </c>
      <c r="H98" s="4"/>
    </row>
    <row r="99" customFormat="false" ht="15.75" hidden="false" customHeight="false" outlineLevel="0" collapsed="false">
      <c r="A99" s="3" t="s">
        <v>165</v>
      </c>
      <c r="B99" s="3" t="str">
        <f aca="false">IF(COUNTIF(Final_CB_F5_V5!$B$2:$B$596,A99)&gt;=1,"YES","NO")</f>
        <v>YES</v>
      </c>
      <c r="C99" s="3" t="s">
        <v>166</v>
      </c>
      <c r="D99" s="3" t="str">
        <f aca="false">IF(COUNTIF(Final_CB_F5_V5!$C$2:$C$596,C99)&gt;=1,"YES","NO")</f>
        <v>YES</v>
      </c>
      <c r="G99" s="4" t="str">
        <f aca="false">IFERROR(__xludf.dummyfunction("""COMPUTED_VALUE"""),"test::logs")</f>
        <v>test::logs</v>
      </c>
      <c r="H99" s="4"/>
    </row>
    <row r="100" customFormat="false" ht="15.75" hidden="false" customHeight="false" outlineLevel="0" collapsed="false">
      <c r="A100" s="3" t="s">
        <v>167</v>
      </c>
      <c r="B100" s="3" t="str">
        <f aca="false">IF(COUNTIF(Final_CB_F5_V5!$B$2:$B$596,A100)&gt;=1,"YES","NO")</f>
        <v>YES</v>
      </c>
      <c r="C100" s="3" t="s">
        <v>168</v>
      </c>
      <c r="D100" s="3" t="str">
        <f aca="false">IF(COUNTIF(Final_CB_F5_V5!$C$2:$C$596,C100)&gt;=1,"YES","NO")</f>
        <v>YES</v>
      </c>
      <c r="G100" s="4" t="str">
        <f aca="false">IFERROR(__xludf.dummyfunction("""COMPUTED_VALUE"""),"test::logs::(external::link::404)")</f>
        <v>test::logs::(external::link::404)</v>
      </c>
      <c r="H100" s="4"/>
    </row>
    <row r="101" customFormat="false" ht="15.75" hidden="false" customHeight="false" outlineLevel="0" collapsed="false">
      <c r="A101" s="3" t="s">
        <v>169</v>
      </c>
      <c r="B101" s="3" t="str">
        <f aca="false">IF(COUNTIF(Final_CB_F5_V5!$B$2:$B$596,A101)&gt;=1,"YES","NO")</f>
        <v>YES</v>
      </c>
      <c r="C101" s="3" t="s">
        <v>170</v>
      </c>
      <c r="D101" s="3" t="str">
        <f aca="false">IF(COUNTIF(Final_CB_F5_V5!$C$2:$C$596,C101)&gt;=1,"YES","NO")</f>
        <v>YES</v>
      </c>
      <c r="G101" s="4" t="str">
        <f aca="false">IFERROR(__xludf.dummyfunction("""COMPUTED_VALUE"""),"undesired::behaviour")</f>
        <v>undesired::behaviour</v>
      </c>
      <c r="H101" s="4"/>
    </row>
    <row r="102" customFormat="false" ht="15.75" hidden="false" customHeight="false" outlineLevel="0" collapsed="false">
      <c r="A102" s="3" t="s">
        <v>150</v>
      </c>
      <c r="B102" s="3" t="str">
        <f aca="false">IF(COUNTIF(Final_CB_F5_V5!$B$2:$B$596,A102)&gt;=1,"YES","NO")</f>
        <v>YES</v>
      </c>
      <c r="C102" s="3" t="s">
        <v>171</v>
      </c>
      <c r="D102" s="3" t="str">
        <f aca="false">IF(COUNTIF(Final_CB_F5_V5!$C$2:$C$596,C102)&gt;=1,"YES","NO")</f>
        <v>YES</v>
      </c>
      <c r="G102" s="4" t="str">
        <f aca="false">IFERROR(__xludf.dummyfunction("""COMPUTED_VALUE"""),"why::change::is::required")</f>
        <v>why::change::is::required</v>
      </c>
      <c r="H102" s="4"/>
    </row>
    <row r="103" customFormat="false" ht="15.75" hidden="false" customHeight="false" outlineLevel="0" collapsed="false">
      <c r="A103" s="3" t="s">
        <v>172</v>
      </c>
      <c r="B103" s="3" t="str">
        <f aca="false">IF(COUNTIF(Final_CB_F5_V5!$B$2:$B$596,A103)&gt;=1,"YES","NO")</f>
        <v>YES</v>
      </c>
      <c r="C103" s="3" t="s">
        <v>173</v>
      </c>
      <c r="D103" s="3" t="str">
        <f aca="false">IF(COUNTIF(Final_CB_F5_V5!$C$2:$C$596,C103)&gt;=1,"YES","NO")</f>
        <v>YES</v>
      </c>
      <c r="G103" s="4" t="str">
        <f aca="false">IFERROR(__xludf.dummyfunction("""COMPUTED_VALUE"""),"why::this::is::a::problem")</f>
        <v>why::this::is::a::problem</v>
      </c>
      <c r="H103" s="4"/>
    </row>
    <row r="104" customFormat="false" ht="15.75" hidden="false" customHeight="false" outlineLevel="0" collapsed="false">
      <c r="A104" s="3" t="s">
        <v>174</v>
      </c>
      <c r="B104" s="3" t="str">
        <f aca="false">IF(COUNTIF(Final_CB_F5_V5!$B$2:$B$596,A104)&gt;=1,"YES","NO")</f>
        <v>YES</v>
      </c>
      <c r="C104" s="3" t="s">
        <v>175</v>
      </c>
      <c r="D104" s="3" t="str">
        <f aca="false">IF(COUNTIF(Final_CB_F5_V5!$C$2:$C$596,C104)&gt;=1,"YES","NO")</f>
        <v>YES</v>
      </c>
      <c r="G104" s="4" t="str">
        <f aca="false">IFERROR(__xludf.dummyfunction("""COMPUTED_VALUE"""),"will::verify::bug::not::present::(specific::version)")</f>
        <v>will::verify::bug::not::present::(specific::version)</v>
      </c>
      <c r="H104" s="4"/>
    </row>
    <row r="105" customFormat="false" ht="15.75" hidden="false" customHeight="false" outlineLevel="0" collapsed="false">
      <c r="A105" s="3" t="s">
        <v>176</v>
      </c>
      <c r="B105" s="3" t="str">
        <f aca="false">IF(COUNTIF(Final_CB_F5_V5!$B$2:$B$596,A105)&gt;=1,"YES","NO")</f>
        <v>YES</v>
      </c>
      <c r="C105" s="3" t="s">
        <v>177</v>
      </c>
      <c r="D105" s="3" t="str">
        <f aca="false">IF(COUNTIF(Final_CB_F5_V5!$C$2:$C$596,C105)&gt;=1,"YES","NO")</f>
        <v>YES</v>
      </c>
      <c r="G105" s="4"/>
      <c r="H105" s="4"/>
    </row>
    <row r="106" customFormat="false" ht="15.75" hidden="false" customHeight="false" outlineLevel="0" collapsed="false">
      <c r="A106" s="3" t="s">
        <v>178</v>
      </c>
      <c r="B106" s="3" t="str">
        <f aca="false">IF(COUNTIF(Final_CB_F5_V5!$B$2:$B$596,A106)&gt;=1,"YES","NO")</f>
        <v>YES</v>
      </c>
      <c r="C106" s="3" t="s">
        <v>179</v>
      </c>
      <c r="D106" s="3" t="str">
        <f aca="false">IF(COUNTIF(Final_CB_F5_V5!$C$2:$C$596,C106)&gt;=1,"YES","NO")</f>
        <v>YES</v>
      </c>
      <c r="G106" s="4"/>
      <c r="H106" s="4"/>
    </row>
    <row r="107" customFormat="false" ht="15.75" hidden="false" customHeight="false" outlineLevel="0" collapsed="false">
      <c r="A107" s="3" t="s">
        <v>154</v>
      </c>
      <c r="B107" s="3" t="str">
        <f aca="false">IF(COUNTIF(Final_CB_F5_V5!$B$2:$B$596,A107)&gt;=1,"YES","NO")</f>
        <v>YES</v>
      </c>
      <c r="C107" s="3" t="s">
        <v>180</v>
      </c>
      <c r="D107" s="3" t="str">
        <f aca="false">IF(COUNTIF(Final_CB_F5_V5!$C$2:$C$596,C107)&gt;=1,"YES","NO")</f>
        <v>YES</v>
      </c>
      <c r="G107" s="4"/>
      <c r="H107" s="4"/>
    </row>
    <row r="108" customFormat="false" ht="15.75" hidden="false" customHeight="false" outlineLevel="0" collapsed="false">
      <c r="A108" s="3" t="s">
        <v>156</v>
      </c>
      <c r="B108" s="3" t="str">
        <f aca="false">IF(COUNTIF(Final_CB_F5_V5!$B$2:$B$596,A108)&gt;=1,"YES","NO")</f>
        <v>YES</v>
      </c>
      <c r="C108" s="3" t="s">
        <v>181</v>
      </c>
      <c r="D108" s="3" t="str">
        <f aca="false">IF(COUNTIF(Final_CB_F5_V5!$C$2:$C$596,C108)&gt;=1,"YES","NO")</f>
        <v>YES</v>
      </c>
      <c r="G108" s="4"/>
      <c r="H108" s="4"/>
    </row>
    <row r="109" customFormat="false" ht="15.75" hidden="false" customHeight="false" outlineLevel="0" collapsed="false">
      <c r="A109" s="3" t="s">
        <v>160</v>
      </c>
      <c r="B109" s="3" t="str">
        <f aca="false">IF(COUNTIF(Final_CB_F5_V5!$B$2:$B$596,A109)&gt;=1,"YES","NO")</f>
        <v>YES</v>
      </c>
      <c r="C109" s="3" t="s">
        <v>182</v>
      </c>
      <c r="D109" s="3" t="str">
        <f aca="false">IF(COUNTIF(Final_CB_F5_V5!$C$2:$C$596,C109)&gt;=1,"YES","NO")</f>
        <v>YES</v>
      </c>
      <c r="G109" s="4"/>
      <c r="H109" s="4"/>
    </row>
    <row r="110" customFormat="false" ht="15.75" hidden="false" customHeight="false" outlineLevel="0" collapsed="false">
      <c r="A110" s="3" t="s">
        <v>162</v>
      </c>
      <c r="B110" s="3" t="str">
        <f aca="false">IF(COUNTIF(Final_CB_F5_V5!$B$2:$B$596,A110)&gt;=1,"YES","NO")</f>
        <v>YES</v>
      </c>
      <c r="C110" s="3" t="s">
        <v>183</v>
      </c>
      <c r="D110" s="3" t="str">
        <f aca="false">IF(COUNTIF(Final_CB_F5_V5!$C$2:$C$596,C110)&gt;=1,"YES","NO")</f>
        <v>YES</v>
      </c>
      <c r="G110" s="4"/>
      <c r="H110" s="4"/>
    </row>
    <row r="111" customFormat="false" ht="15.75" hidden="false" customHeight="false" outlineLevel="0" collapsed="false">
      <c r="A111" s="3" t="s">
        <v>164</v>
      </c>
      <c r="B111" s="3" t="str">
        <f aca="false">IF(COUNTIF(Final_CB_F5_V5!$B$2:$B$596,A111)&gt;=1,"YES","NO")</f>
        <v>YES</v>
      </c>
      <c r="C111" s="3" t="s">
        <v>184</v>
      </c>
      <c r="D111" s="3" t="str">
        <f aca="false">IF(COUNTIF(Final_CB_F5_V5!$C$2:$C$596,C111)&gt;=1,"YES","NO")</f>
        <v>YES</v>
      </c>
      <c r="G111" s="4"/>
      <c r="H111" s="4"/>
    </row>
    <row r="112" customFormat="false" ht="15.75" hidden="false" customHeight="false" outlineLevel="0" collapsed="false">
      <c r="A112" s="3" t="s">
        <v>166</v>
      </c>
      <c r="B112" s="3" t="str">
        <f aca="false">IF(COUNTIF(Final_CB_F5_V5!$B$2:$B$596,A112)&gt;=1,"YES","NO")</f>
        <v>YES</v>
      </c>
      <c r="C112" s="3" t="s">
        <v>185</v>
      </c>
      <c r="D112" s="3" t="str">
        <f aca="false">IF(COUNTIF(Final_CB_F5_V5!$C$2:$C$596,C112)&gt;=1,"YES","NO")</f>
        <v>YES</v>
      </c>
      <c r="G112" s="4"/>
      <c r="H112" s="4"/>
    </row>
    <row r="113" customFormat="false" ht="15.75" hidden="false" customHeight="false" outlineLevel="0" collapsed="false">
      <c r="A113" s="3" t="s">
        <v>168</v>
      </c>
      <c r="B113" s="3" t="str">
        <f aca="false">IF(COUNTIF(Final_CB_F5_V5!$B$2:$B$596,A113)&gt;=1,"YES","NO")</f>
        <v>YES</v>
      </c>
      <c r="C113" s="3" t="s">
        <v>186</v>
      </c>
      <c r="D113" s="3" t="str">
        <f aca="false">IF(COUNTIF(Final_CB_F5_V5!$C$2:$C$596,C113)&gt;=1,"YES","NO")</f>
        <v>YES</v>
      </c>
      <c r="G113" s="4"/>
      <c r="H113" s="4"/>
    </row>
    <row r="114" customFormat="false" ht="15.75" hidden="false" customHeight="false" outlineLevel="0" collapsed="false">
      <c r="A114" s="3" t="s">
        <v>170</v>
      </c>
      <c r="B114" s="3" t="str">
        <f aca="false">IF(COUNTIF(Final_CB_F5_V5!$B$2:$B$596,A114)&gt;=1,"YES","NO")</f>
        <v>YES</v>
      </c>
      <c r="C114" s="3" t="s">
        <v>187</v>
      </c>
      <c r="D114" s="3" t="str">
        <f aca="false">IF(COUNTIF(Final_CB_F5_V5!$C$2:$C$596,C114)&gt;=1,"YES","NO")</f>
        <v>YES</v>
      </c>
      <c r="G114" s="4"/>
      <c r="H114" s="4"/>
    </row>
    <row r="115" customFormat="false" ht="15.75" hidden="false" customHeight="false" outlineLevel="0" collapsed="false">
      <c r="A115" s="3" t="s">
        <v>188</v>
      </c>
      <c r="B115" s="3" t="str">
        <f aca="false">IF(COUNTIF(Final_CB_F5_V5!$B$2:$B$596,A115)&gt;=1,"YES","NO")</f>
        <v>YES</v>
      </c>
      <c r="C115" s="3" t="s">
        <v>189</v>
      </c>
      <c r="D115" s="3" t="str">
        <f aca="false">IF(COUNTIF(Final_CB_F5_V5!$C$2:$C$596,C115)&gt;=1,"YES","NO")</f>
        <v>YES</v>
      </c>
      <c r="G115" s="4"/>
      <c r="H115" s="4"/>
    </row>
    <row r="116" customFormat="false" ht="15.75" hidden="false" customHeight="false" outlineLevel="0" collapsed="false">
      <c r="A116" s="3" t="s">
        <v>190</v>
      </c>
      <c r="B116" s="3" t="str">
        <f aca="false">IF(COUNTIF(Final_CB_F5_V5!$B$2:$B$596,A116)&gt;=1,"YES","NO")</f>
        <v>YES</v>
      </c>
      <c r="C116" s="3" t="s">
        <v>191</v>
      </c>
      <c r="D116" s="3" t="str">
        <f aca="false">IF(COUNTIF(Final_CB_F5_V5!$C$2:$C$596,C116)&gt;=1,"YES","NO")</f>
        <v>YES</v>
      </c>
      <c r="G116" s="4"/>
      <c r="H116" s="4"/>
    </row>
    <row r="117" customFormat="false" ht="15.75" hidden="false" customHeight="false" outlineLevel="0" collapsed="false">
      <c r="A117" s="3" t="s">
        <v>171</v>
      </c>
      <c r="B117" s="3" t="str">
        <f aca="false">IF(COUNTIF(Final_CB_F5_V5!$B$2:$B$596,A117)&gt;=1,"YES","NO")</f>
        <v>YES</v>
      </c>
      <c r="C117" s="3" t="s">
        <v>192</v>
      </c>
      <c r="D117" s="3" t="str">
        <f aca="false">IF(COUNTIF(Final_CB_F5_V5!$C$2:$C$596,C117)&gt;=1,"YES","NO")</f>
        <v>YES</v>
      </c>
      <c r="G117" s="4"/>
      <c r="H117" s="4"/>
    </row>
    <row r="118" customFormat="false" ht="15.75" hidden="false" customHeight="false" outlineLevel="0" collapsed="false">
      <c r="A118" s="3" t="s">
        <v>173</v>
      </c>
      <c r="B118" s="3" t="str">
        <f aca="false">IF(COUNTIF(Final_CB_F5_V5!$B$2:$B$596,A118)&gt;=1,"YES","NO")</f>
        <v>YES</v>
      </c>
      <c r="C118" s="3" t="s">
        <v>193</v>
      </c>
      <c r="D118" s="3" t="str">
        <f aca="false">IF(COUNTIF(Final_CB_F5_V5!$C$2:$C$596,C118)&gt;=1,"YES","NO")</f>
        <v>YES</v>
      </c>
      <c r="G118" s="4"/>
      <c r="H118" s="4"/>
    </row>
    <row r="119" customFormat="false" ht="15.75" hidden="false" customHeight="false" outlineLevel="0" collapsed="false">
      <c r="A119" s="3" t="s">
        <v>177</v>
      </c>
      <c r="B119" s="3" t="str">
        <f aca="false">IF(COUNTIF(Final_CB_F5_V5!$B$2:$B$596,A119)&gt;=1,"YES","NO")</f>
        <v>YES</v>
      </c>
      <c r="C119" s="3" t="s">
        <v>194</v>
      </c>
      <c r="D119" s="3" t="str">
        <f aca="false">IF(COUNTIF(Final_CB_F5_V5!$C$2:$C$596,C119)&gt;=1,"YES","NO")</f>
        <v>YES</v>
      </c>
      <c r="G119" s="4"/>
      <c r="H119" s="4"/>
    </row>
    <row r="120" customFormat="false" ht="15.75" hidden="false" customHeight="false" outlineLevel="0" collapsed="false">
      <c r="A120" s="3" t="s">
        <v>195</v>
      </c>
      <c r="B120" s="3" t="str">
        <f aca="false">IF(COUNTIF(Final_CB_F5_V5!$B$2:$B$596,A120)&gt;=1,"YES","NO")</f>
        <v>YES</v>
      </c>
      <c r="C120" s="3" t="s">
        <v>196</v>
      </c>
      <c r="D120" s="3" t="str">
        <f aca="false">IF(COUNTIF(Final_CB_F5_V5!$C$2:$C$596,C120)&gt;=1,"YES","NO")</f>
        <v>YES</v>
      </c>
      <c r="G120" s="4"/>
      <c r="H120" s="4"/>
    </row>
    <row r="121" customFormat="false" ht="15.75" hidden="false" customHeight="false" outlineLevel="0" collapsed="false">
      <c r="A121" s="3" t="s">
        <v>197</v>
      </c>
      <c r="B121" s="3" t="str">
        <f aca="false">IF(COUNTIF(Final_CB_F5_V5!$B$2:$B$596,A121)&gt;=1,"YES","NO")</f>
        <v>YES</v>
      </c>
      <c r="C121" s="3" t="s">
        <v>198</v>
      </c>
      <c r="D121" s="3" t="str">
        <f aca="false">IF(COUNTIF(Final_CB_F5_V5!$C$2:$C$596,C121)&gt;=1,"YES","NO")</f>
        <v>YES</v>
      </c>
      <c r="G121" s="4"/>
      <c r="H121" s="4"/>
    </row>
    <row r="122" customFormat="false" ht="15.75" hidden="false" customHeight="false" outlineLevel="0" collapsed="false">
      <c r="A122" s="3" t="s">
        <v>199</v>
      </c>
      <c r="B122" s="3" t="str">
        <f aca="false">IF(COUNTIF(Final_CB_F5_V5!$B$2:$B$596,A122)&gt;=1,"YES","NO")</f>
        <v>YES</v>
      </c>
      <c r="C122" s="3" t="s">
        <v>200</v>
      </c>
      <c r="D122" s="3" t="str">
        <f aca="false">IF(COUNTIF(Final_CB_F5_V5!$C$2:$C$596,C122)&gt;=1,"YES","NO")</f>
        <v>YES</v>
      </c>
      <c r="G122" s="4"/>
      <c r="H122" s="4"/>
    </row>
    <row r="123" customFormat="false" ht="15.75" hidden="false" customHeight="false" outlineLevel="0" collapsed="false">
      <c r="A123" s="3" t="s">
        <v>201</v>
      </c>
      <c r="B123" s="3" t="str">
        <f aca="false">IF(COUNTIF(Final_CB_F5_V5!$B$2:$B$596,A123)&gt;=1,"YES","NO")</f>
        <v>YES</v>
      </c>
      <c r="C123" s="3" t="s">
        <v>202</v>
      </c>
      <c r="D123" s="3" t="str">
        <f aca="false">IF(COUNTIF(Final_CB_F5_V5!$C$2:$C$596,C123)&gt;=1,"YES","NO")</f>
        <v>YES</v>
      </c>
      <c r="G123" s="4"/>
      <c r="H123" s="4"/>
    </row>
    <row r="124" customFormat="false" ht="15.75" hidden="false" customHeight="false" outlineLevel="0" collapsed="false">
      <c r="A124" s="3" t="s">
        <v>203</v>
      </c>
      <c r="B124" s="3" t="str">
        <f aca="false">IF(COUNTIF(Final_CB_F5_V5!$B$2:$B$596,A124)&gt;=1,"YES","NO")</f>
        <v>YES</v>
      </c>
      <c r="C124" s="3" t="s">
        <v>204</v>
      </c>
      <c r="D124" s="3" t="str">
        <f aca="false">IF(COUNTIF(Final_CB_F5_V5!$C$2:$C$596,C124)&gt;=1,"YES","NO")</f>
        <v>YES</v>
      </c>
      <c r="G124" s="4"/>
      <c r="H124" s="4"/>
    </row>
    <row r="125" customFormat="false" ht="15.75" hidden="false" customHeight="false" outlineLevel="0" collapsed="false">
      <c r="A125" s="3" t="s">
        <v>205</v>
      </c>
      <c r="B125" s="3" t="str">
        <f aca="false">IF(COUNTIF(Final_CB_F5_V5!$B$2:$B$596,A125)&gt;=1,"YES","NO")</f>
        <v>YES</v>
      </c>
      <c r="C125" s="3" t="s">
        <v>206</v>
      </c>
      <c r="D125" s="3" t="str">
        <f aca="false">IF(COUNTIF(Final_CB_F5_V5!$C$2:$C$596,C125)&gt;=1,"YES","NO")</f>
        <v>YES</v>
      </c>
      <c r="G125" s="4"/>
      <c r="H125" s="4"/>
    </row>
    <row r="126" customFormat="false" ht="15.75" hidden="false" customHeight="false" outlineLevel="0" collapsed="false">
      <c r="A126" s="3" t="s">
        <v>207</v>
      </c>
      <c r="B126" s="3" t="str">
        <f aca="false">IF(COUNTIF(Final_CB_F5_V5!$B$2:$B$596,A126)&gt;=1,"YES","NO")</f>
        <v>YES</v>
      </c>
      <c r="C126" s="3" t="s">
        <v>208</v>
      </c>
      <c r="D126" s="3" t="str">
        <f aca="false">IF(COUNTIF(Final_CB_F5_V5!$C$2:$C$596,C126)&gt;=1,"YES","NO")</f>
        <v>YES</v>
      </c>
      <c r="G126" s="4"/>
      <c r="H126" s="4"/>
    </row>
    <row r="127" customFormat="false" ht="15.75" hidden="false" customHeight="false" outlineLevel="0" collapsed="false">
      <c r="A127" s="3" t="s">
        <v>209</v>
      </c>
      <c r="B127" s="3" t="str">
        <f aca="false">IF(COUNTIF(Final_CB_F5_V5!$B$2:$B$596,A127)&gt;=1,"YES","NO")</f>
        <v>YES</v>
      </c>
      <c r="C127" s="3" t="s">
        <v>210</v>
      </c>
      <c r="D127" s="3" t="str">
        <f aca="false">IF(COUNTIF(Final_CB_F5_V5!$C$2:$C$596,C127)&gt;=1,"YES","NO")</f>
        <v>YES</v>
      </c>
      <c r="G127" s="4"/>
      <c r="H127" s="4"/>
    </row>
    <row r="128" customFormat="false" ht="15.75" hidden="false" customHeight="false" outlineLevel="0" collapsed="false">
      <c r="A128" s="3" t="s">
        <v>183</v>
      </c>
      <c r="B128" s="3" t="str">
        <f aca="false">IF(COUNTIF(Final_CB_F5_V5!$B$2:$B$596,A128)&gt;=1,"YES","NO")</f>
        <v>YES</v>
      </c>
      <c r="C128" s="3" t="s">
        <v>211</v>
      </c>
      <c r="D128" s="3" t="str">
        <f aca="false">IF(COUNTIF(Final_CB_F5_V5!$C$2:$C$596,C128)&gt;=1,"YES","NO")</f>
        <v>YES</v>
      </c>
      <c r="G128" s="4"/>
      <c r="H128" s="4"/>
    </row>
    <row r="129" customFormat="false" ht="15.75" hidden="false" customHeight="false" outlineLevel="0" collapsed="false">
      <c r="A129" s="3" t="s">
        <v>212</v>
      </c>
      <c r="B129" s="3" t="str">
        <f aca="false">IF(COUNTIF(Final_CB_F5_V5!$B$2:$B$596,A129)&gt;=1,"YES","NO")</f>
        <v>YES</v>
      </c>
      <c r="C129" s="3" t="s">
        <v>213</v>
      </c>
      <c r="D129" s="3" t="str">
        <f aca="false">IF(COUNTIF(Final_CB_F5_V5!$C$2:$C$596,C129)&gt;=1,"YES","NO")</f>
        <v>YES</v>
      </c>
      <c r="G129" s="4"/>
      <c r="H129" s="4"/>
    </row>
    <row r="130" customFormat="false" ht="15.75" hidden="false" customHeight="false" outlineLevel="0" collapsed="false">
      <c r="A130" s="3" t="s">
        <v>214</v>
      </c>
      <c r="B130" s="3" t="str">
        <f aca="false">IF(COUNTIF(Final_CB_F5_V5!$B$2:$B$596,A130)&gt;=1,"YES","NO")</f>
        <v>YES</v>
      </c>
      <c r="C130" s="3" t="s">
        <v>215</v>
      </c>
      <c r="D130" s="3" t="str">
        <f aca="false">IF(COUNTIF(Final_CB_F5_V5!$C$2:$C$596,C130)&gt;=1,"YES","NO")</f>
        <v>YES</v>
      </c>
      <c r="G130" s="4"/>
      <c r="H130" s="4"/>
    </row>
    <row r="131" customFormat="false" ht="15.75" hidden="false" customHeight="false" outlineLevel="0" collapsed="false">
      <c r="A131" s="3" t="s">
        <v>216</v>
      </c>
      <c r="B131" s="3" t="str">
        <f aca="false">IF(COUNTIF(Final_CB_F5_V5!$B$2:$B$596,A131)&gt;=1,"YES","NO")</f>
        <v>YES</v>
      </c>
      <c r="C131" s="3" t="s">
        <v>217</v>
      </c>
      <c r="D131" s="3" t="str">
        <f aca="false">IF(COUNTIF(Final_CB_F5_V5!$C$2:$C$596,C131)&gt;=1,"YES","NO")</f>
        <v>YES</v>
      </c>
      <c r="G131" s="4"/>
      <c r="H131" s="4"/>
    </row>
    <row r="132" customFormat="false" ht="15.75" hidden="false" customHeight="false" outlineLevel="0" collapsed="false">
      <c r="A132" s="3" t="s">
        <v>189</v>
      </c>
      <c r="B132" s="3" t="str">
        <f aca="false">IF(COUNTIF(Final_CB_F5_V5!$B$2:$B$596,A132)&gt;=1,"YES","NO")</f>
        <v>YES</v>
      </c>
      <c r="C132" s="3" t="s">
        <v>218</v>
      </c>
      <c r="D132" s="3" t="str">
        <f aca="false">IF(COUNTIF(Final_CB_F5_V5!$C$2:$C$596,C132)&gt;=1,"YES","NO")</f>
        <v>YES</v>
      </c>
      <c r="G132" s="4"/>
      <c r="H132" s="4"/>
    </row>
    <row r="133" customFormat="false" ht="15.75" hidden="false" customHeight="false" outlineLevel="0" collapsed="false">
      <c r="A133" s="3" t="s">
        <v>191</v>
      </c>
      <c r="B133" s="3" t="str">
        <f aca="false">IF(COUNTIF(Final_CB_F5_V5!$B$2:$B$596,A133)&gt;=1,"YES","NO")</f>
        <v>YES</v>
      </c>
      <c r="C133" s="3" t="s">
        <v>219</v>
      </c>
      <c r="D133" s="3" t="str">
        <f aca="false">IF(COUNTIF(Final_CB_F5_V5!$C$2:$C$596,C133)&gt;=1,"YES","NO")</f>
        <v>YES</v>
      </c>
      <c r="G133" s="4"/>
      <c r="H133" s="4"/>
    </row>
    <row r="134" customFormat="false" ht="15.75" hidden="false" customHeight="false" outlineLevel="0" collapsed="false">
      <c r="A134" s="3" t="s">
        <v>192</v>
      </c>
      <c r="B134" s="3" t="str">
        <f aca="false">IF(COUNTIF(Final_CB_F5_V5!$B$2:$B$596,A134)&gt;=1,"YES","NO")</f>
        <v>YES</v>
      </c>
      <c r="C134" s="3" t="s">
        <v>220</v>
      </c>
      <c r="D134" s="3" t="str">
        <f aca="false">IF(COUNTIF(Final_CB_F5_V5!$C$2:$C$596,C134)&gt;=1,"YES","NO")</f>
        <v>YES</v>
      </c>
      <c r="G134" s="4"/>
      <c r="H134" s="4"/>
    </row>
    <row r="135" customFormat="false" ht="15.75" hidden="false" customHeight="false" outlineLevel="0" collapsed="false">
      <c r="A135" s="3" t="s">
        <v>221</v>
      </c>
      <c r="B135" s="3" t="str">
        <f aca="false">IF(COUNTIF(Final_CB_F5_V5!$B$2:$B$596,A135)&gt;=1,"YES","NO")</f>
        <v>YES</v>
      </c>
      <c r="C135" s="3" t="s">
        <v>222</v>
      </c>
      <c r="D135" s="3" t="str">
        <f aca="false">IF(COUNTIF(Final_CB_F5_V5!$C$2:$C$596,C135)&gt;=1,"YES","NO")</f>
        <v>YES</v>
      </c>
      <c r="G135" s="4"/>
      <c r="H135" s="4"/>
    </row>
    <row r="136" customFormat="false" ht="15.75" hidden="false" customHeight="false" outlineLevel="0" collapsed="false">
      <c r="A136" s="3" t="s">
        <v>193</v>
      </c>
      <c r="B136" s="3" t="str">
        <f aca="false">IF(COUNTIF(Final_CB_F5_V5!$B$2:$B$596,A136)&gt;=1,"YES","NO")</f>
        <v>YES</v>
      </c>
      <c r="C136" s="3" t="s">
        <v>223</v>
      </c>
      <c r="D136" s="3" t="str">
        <f aca="false">IF(COUNTIF(Final_CB_F5_V5!$C$2:$C$596,C136)&gt;=1,"YES","NO")</f>
        <v>YES</v>
      </c>
      <c r="G136" s="4"/>
      <c r="H136" s="4"/>
    </row>
    <row r="137" customFormat="false" ht="15.75" hidden="false" customHeight="false" outlineLevel="0" collapsed="false">
      <c r="A137" s="3" t="s">
        <v>210</v>
      </c>
      <c r="B137" s="3" t="str">
        <f aca="false">IF(COUNTIF(Final_CB_F5_V5!$B$2:$B$596,A137)&gt;=1,"YES","NO")</f>
        <v>YES</v>
      </c>
      <c r="C137" s="3" t="s">
        <v>224</v>
      </c>
      <c r="D137" s="3" t="str">
        <f aca="false">IF(COUNTIF(Final_CB_F5_V5!$C$2:$C$596,C137)&gt;=1,"YES","NO")</f>
        <v>YES</v>
      </c>
      <c r="G137" s="4"/>
      <c r="H137" s="4"/>
    </row>
    <row r="138" customFormat="false" ht="15.75" hidden="false" customHeight="false" outlineLevel="0" collapsed="false">
      <c r="A138" s="3" t="s">
        <v>217</v>
      </c>
      <c r="B138" s="3" t="str">
        <f aca="false">IF(COUNTIF(Final_CB_F5_V5!$B$2:$B$596,A138)&gt;=1,"YES","NO")</f>
        <v>YES</v>
      </c>
      <c r="C138" s="3" t="s">
        <v>225</v>
      </c>
      <c r="D138" s="3" t="str">
        <f aca="false">IF(COUNTIF(Final_CB_F5_V5!$C$2:$C$596,C138)&gt;=1,"YES","NO")</f>
        <v>YES</v>
      </c>
      <c r="G138" s="4"/>
      <c r="H138" s="4"/>
    </row>
    <row r="139" customFormat="false" ht="15.75" hidden="false" customHeight="false" outlineLevel="0" collapsed="false">
      <c r="A139" s="3" t="s">
        <v>219</v>
      </c>
      <c r="B139" s="3" t="str">
        <f aca="false">IF(COUNTIF(Final_CB_F5_V5!$B$2:$B$596,A139)&gt;=1,"YES","NO")</f>
        <v>YES</v>
      </c>
      <c r="C139" s="3" t="s">
        <v>226</v>
      </c>
      <c r="D139" s="3" t="str">
        <f aca="false">IF(COUNTIF(Final_CB_F5_V5!$C$2:$C$596,C139)&gt;=1,"YES","NO")</f>
        <v>YES</v>
      </c>
      <c r="G139" s="4"/>
      <c r="H139" s="4"/>
    </row>
    <row r="140" customFormat="false" ht="15.75" hidden="false" customHeight="false" outlineLevel="0" collapsed="false">
      <c r="A140" s="3" t="s">
        <v>227</v>
      </c>
      <c r="B140" s="3" t="str">
        <f aca="false">IF(COUNTIF(Final_CB_F5_V5!$B$2:$B$596,A140)&gt;=1,"YES","NO")</f>
        <v>YES</v>
      </c>
      <c r="C140" s="3" t="s">
        <v>228</v>
      </c>
      <c r="D140" s="3" t="str">
        <f aca="false">IF(COUNTIF(Final_CB_F5_V5!$C$2:$C$596,C140)&gt;=1,"YES","NO")</f>
        <v>YES</v>
      </c>
      <c r="G140" s="4"/>
      <c r="H140" s="4"/>
    </row>
    <row r="141" customFormat="false" ht="15.75" hidden="false" customHeight="false" outlineLevel="0" collapsed="false">
      <c r="A141" s="3" t="s">
        <v>229</v>
      </c>
      <c r="B141" s="3" t="str">
        <f aca="false">IF(COUNTIF(Final_CB_F5_V5!$B$2:$B$596,A141)&gt;=1,"YES","NO")</f>
        <v>YES</v>
      </c>
      <c r="C141" s="3" t="s">
        <v>230</v>
      </c>
      <c r="D141" s="3" t="str">
        <f aca="false">IF(COUNTIF(Final_CB_F5_V5!$C$2:$C$596,C141)&gt;=1,"YES","NO")</f>
        <v>YES</v>
      </c>
      <c r="G141" s="4"/>
      <c r="H141" s="4"/>
    </row>
    <row r="142" customFormat="false" ht="15.75" hidden="false" customHeight="false" outlineLevel="0" collapsed="false">
      <c r="A142" s="3" t="s">
        <v>231</v>
      </c>
      <c r="B142" s="3" t="str">
        <f aca="false">IF(COUNTIF(Final_CB_F5_V5!$B$2:$B$596,A142)&gt;=1,"YES","NO")</f>
        <v>YES</v>
      </c>
      <c r="C142" s="3" t="s">
        <v>232</v>
      </c>
      <c r="D142" s="3" t="str">
        <f aca="false">IF(COUNTIF(Final_CB_F5_V5!$C$2:$C$596,C142)&gt;=1,"YES","NO")</f>
        <v>YES</v>
      </c>
      <c r="G142" s="4"/>
      <c r="H142" s="4"/>
    </row>
    <row r="143" customFormat="false" ht="15.75" hidden="false" customHeight="false" outlineLevel="0" collapsed="false">
      <c r="A143" s="3" t="s">
        <v>233</v>
      </c>
      <c r="B143" s="3" t="str">
        <f aca="false">IF(COUNTIF(Final_CB_F5_V5!$B$2:$B$596,A143)&gt;=1,"YES","NO")</f>
        <v>YES</v>
      </c>
      <c r="C143" s="3" t="s">
        <v>234</v>
      </c>
      <c r="D143" s="3" t="str">
        <f aca="false">IF(COUNTIF(Final_CB_F5_V5!$C$2:$C$596,C143)&gt;=1,"YES","NO")</f>
        <v>YES</v>
      </c>
      <c r="G143" s="4"/>
      <c r="H143" s="4"/>
    </row>
    <row r="144" customFormat="false" ht="15.75" hidden="false" customHeight="false" outlineLevel="0" collapsed="false">
      <c r="A144" s="3" t="s">
        <v>235</v>
      </c>
      <c r="B144" s="3" t="str">
        <f aca="false">IF(COUNTIF(Final_CB_F5_V5!$B$2:$B$596,A144)&gt;=1,"YES","NO")</f>
        <v>YES</v>
      </c>
      <c r="C144" s="3" t="s">
        <v>236</v>
      </c>
      <c r="D144" s="3" t="str">
        <f aca="false">IF(COUNTIF(Final_CB_F5_V5!$C$2:$C$596,C144)&gt;=1,"YES","NO")</f>
        <v>YES</v>
      </c>
      <c r="G144" s="4"/>
      <c r="H144" s="4"/>
    </row>
    <row r="145" customFormat="false" ht="15.75" hidden="false" customHeight="false" outlineLevel="0" collapsed="false">
      <c r="A145" s="3" t="s">
        <v>237</v>
      </c>
      <c r="B145" s="3" t="str">
        <f aca="false">IF(COUNTIF(Final_CB_F5_V5!$B$2:$B$596,A145)&gt;=1,"YES","NO")</f>
        <v>YES</v>
      </c>
      <c r="C145" s="3" t="s">
        <v>238</v>
      </c>
      <c r="D145" s="3" t="str">
        <f aca="false">IF(COUNTIF(Final_CB_F5_V5!$C$2:$C$596,C145)&gt;=1,"YES","NO")</f>
        <v>YES</v>
      </c>
      <c r="G145" s="4"/>
      <c r="H145" s="4"/>
    </row>
    <row r="146" customFormat="false" ht="15.75" hidden="false" customHeight="false" outlineLevel="0" collapsed="false">
      <c r="A146" s="3" t="s">
        <v>239</v>
      </c>
      <c r="B146" s="3" t="str">
        <f aca="false">IF(COUNTIF(Final_CB_F5_V5!$B$2:$B$596,A146)&gt;=1,"YES","NO")</f>
        <v>YES</v>
      </c>
      <c r="C146" s="3" t="s">
        <v>240</v>
      </c>
      <c r="D146" s="3" t="str">
        <f aca="false">IF(COUNTIF(Final_CB_F5_V5!$C$2:$C$596,C146)&gt;=1,"YES","NO")</f>
        <v>YES</v>
      </c>
      <c r="G146" s="4"/>
      <c r="H146" s="4"/>
    </row>
    <row r="147" customFormat="false" ht="15.75" hidden="false" customHeight="false" outlineLevel="0" collapsed="false">
      <c r="A147" s="3" t="s">
        <v>241</v>
      </c>
      <c r="B147" s="3" t="str">
        <f aca="false">IF(COUNTIF(Final_CB_F5_V5!$B$2:$B$596,A147)&gt;=1,"YES","NO")</f>
        <v>YES</v>
      </c>
      <c r="C147" s="3" t="s">
        <v>242</v>
      </c>
      <c r="D147" s="3" t="str">
        <f aca="false">IF(COUNTIF(Final_CB_F5_V5!$C$2:$C$596,C147)&gt;=1,"YES","NO")</f>
        <v>YES</v>
      </c>
      <c r="G147" s="4"/>
      <c r="H147" s="4"/>
    </row>
    <row r="148" customFormat="false" ht="15.75" hidden="false" customHeight="false" outlineLevel="0" collapsed="false">
      <c r="A148" s="3" t="s">
        <v>228</v>
      </c>
      <c r="B148" s="3" t="str">
        <f aca="false">IF(COUNTIF(Final_CB_F5_V5!$B$2:$B$596,A148)&gt;=1,"YES","NO")</f>
        <v>YES</v>
      </c>
      <c r="C148" s="3" t="s">
        <v>243</v>
      </c>
      <c r="D148" s="3" t="str">
        <f aca="false">IF(COUNTIF(Final_CB_F5_V5!$C$2:$C$596,C148)&gt;=1,"YES","NO")</f>
        <v>YES</v>
      </c>
      <c r="G148" s="4"/>
      <c r="H148" s="4"/>
    </row>
    <row r="149" customFormat="false" ht="15.75" hidden="false" customHeight="false" outlineLevel="0" collapsed="false">
      <c r="A149" s="3" t="s">
        <v>244</v>
      </c>
      <c r="B149" s="3" t="str">
        <f aca="false">IF(COUNTIF(Final_CB_F5_V5!$B$2:$B$596,A149)&gt;=1,"YES","NO")</f>
        <v>YES</v>
      </c>
      <c r="C149" s="3" t="s">
        <v>245</v>
      </c>
      <c r="D149" s="3" t="str">
        <f aca="false">IF(COUNTIF(Final_CB_F5_V5!$C$2:$C$596,C149)&gt;=1,"YES","NO")</f>
        <v>YES</v>
      </c>
      <c r="G149" s="4"/>
      <c r="H149" s="4"/>
    </row>
    <row r="150" customFormat="false" ht="15.75" hidden="false" customHeight="false" outlineLevel="0" collapsed="false">
      <c r="A150" s="3" t="s">
        <v>246</v>
      </c>
      <c r="B150" s="3" t="str">
        <f aca="false">IF(COUNTIF(Final_CB_F5_V5!$B$2:$B$596,A150)&gt;=1,"YES","NO")</f>
        <v>YES</v>
      </c>
      <c r="C150" s="3" t="s">
        <v>247</v>
      </c>
      <c r="D150" s="3" t="str">
        <f aca="false">IF(COUNTIF(Final_CB_F5_V5!$C$2:$C$596,C150)&gt;=1,"YES","NO")</f>
        <v>YES</v>
      </c>
      <c r="G150" s="4"/>
      <c r="H150" s="4"/>
    </row>
    <row r="151" customFormat="false" ht="15.75" hidden="false" customHeight="false" outlineLevel="0" collapsed="false">
      <c r="A151" s="3" t="s">
        <v>232</v>
      </c>
      <c r="B151" s="3" t="str">
        <f aca="false">IF(COUNTIF(Final_CB_F5_V5!$B$2:$B$596,A151)&gt;=1,"YES","NO")</f>
        <v>YES</v>
      </c>
      <c r="C151" s="3" t="s">
        <v>248</v>
      </c>
      <c r="D151" s="3" t="str">
        <f aca="false">IF(COUNTIF(Final_CB_F5_V5!$C$2:$C$596,C151)&gt;=1,"YES","NO")</f>
        <v>YES</v>
      </c>
      <c r="G151" s="4"/>
      <c r="H151" s="4"/>
    </row>
    <row r="152" customFormat="false" ht="15.75" hidden="false" customHeight="false" outlineLevel="0" collapsed="false">
      <c r="A152" s="3" t="s">
        <v>234</v>
      </c>
      <c r="B152" s="3" t="str">
        <f aca="false">IF(COUNTIF(Final_CB_F5_V5!$B$2:$B$596,A152)&gt;=1,"YES","NO")</f>
        <v>YES</v>
      </c>
      <c r="C152" s="3" t="s">
        <v>249</v>
      </c>
      <c r="D152" s="3" t="str">
        <f aca="false">IF(COUNTIF(Final_CB_F5_V5!$C$2:$C$596,C152)&gt;=1,"YES","NO")</f>
        <v>YES</v>
      </c>
      <c r="G152" s="4"/>
      <c r="H152" s="4"/>
    </row>
    <row r="153" customFormat="false" ht="15.75" hidden="false" customHeight="false" outlineLevel="0" collapsed="false">
      <c r="A153" s="3" t="s">
        <v>236</v>
      </c>
      <c r="B153" s="3" t="str">
        <f aca="false">IF(COUNTIF(Final_CB_F5_V5!$B$2:$B$596,A153)&gt;=1,"YES","NO")</f>
        <v>YES</v>
      </c>
      <c r="C153" s="3" t="s">
        <v>250</v>
      </c>
      <c r="D153" s="3" t="str">
        <f aca="false">IF(COUNTIF(Final_CB_F5_V5!$C$2:$C$596,C153)&gt;=1,"YES","NO")</f>
        <v>YES</v>
      </c>
      <c r="G153" s="4"/>
      <c r="H153" s="4"/>
    </row>
    <row r="154" customFormat="false" ht="15.75" hidden="false" customHeight="false" outlineLevel="0" collapsed="false">
      <c r="A154" s="3" t="s">
        <v>251</v>
      </c>
      <c r="B154" s="3" t="str">
        <f aca="false">IF(COUNTIF(Final_CB_F5_V5!$B$2:$B$596,A154)&gt;=1,"YES","NO")</f>
        <v>YES</v>
      </c>
      <c r="C154" s="3" t="s">
        <v>252</v>
      </c>
      <c r="D154" s="3" t="str">
        <f aca="false">IF(COUNTIF(Final_CB_F5_V5!$C$2:$C$596,C154)&gt;=1,"YES","NO")</f>
        <v>YES</v>
      </c>
      <c r="G154" s="4"/>
      <c r="H154" s="4"/>
    </row>
    <row r="155" customFormat="false" ht="15.75" hidden="false" customHeight="false" outlineLevel="0" collapsed="false">
      <c r="A155" s="3" t="s">
        <v>238</v>
      </c>
      <c r="B155" s="3" t="str">
        <f aca="false">IF(COUNTIF(Final_CB_F5_V5!$B$2:$B$596,A155)&gt;=1,"YES","NO")</f>
        <v>YES</v>
      </c>
      <c r="C155" s="3" t="s">
        <v>253</v>
      </c>
      <c r="D155" s="3" t="str">
        <f aca="false">IF(COUNTIF(Final_CB_F5_V5!$C$2:$C$596,C155)&gt;=1,"YES","NO")</f>
        <v>YES</v>
      </c>
      <c r="G155" s="4"/>
      <c r="H155" s="4"/>
    </row>
    <row r="156" customFormat="false" ht="15.75" hidden="false" customHeight="false" outlineLevel="0" collapsed="false">
      <c r="A156" s="3" t="s">
        <v>245</v>
      </c>
      <c r="B156" s="3" t="str">
        <f aca="false">IF(COUNTIF(Final_CB_F5_V5!$B$2:$B$596,A156)&gt;=1,"YES","NO")</f>
        <v>YES</v>
      </c>
      <c r="C156" s="3" t="s">
        <v>254</v>
      </c>
      <c r="D156" s="3" t="str">
        <f aca="false">IF(COUNTIF(Final_CB_F5_V5!$C$2:$C$596,C156)&gt;=1,"YES","NO")</f>
        <v>YES</v>
      </c>
      <c r="G156" s="4"/>
      <c r="H156" s="4"/>
    </row>
    <row r="157" customFormat="false" ht="15.75" hidden="false" customHeight="false" outlineLevel="0" collapsed="false">
      <c r="A157" s="3" t="s">
        <v>255</v>
      </c>
      <c r="B157" s="3" t="str">
        <f aca="false">IF(COUNTIF(Final_CB_F5_V5!$B$2:$B$596,A157)&gt;=1,"YES","NO")</f>
        <v>YES</v>
      </c>
      <c r="C157" s="3" t="s">
        <v>256</v>
      </c>
      <c r="D157" s="3" t="str">
        <f aca="false">IF(COUNTIF(Final_CB_F5_V5!$C$2:$C$596,C157)&gt;=1,"YES","NO")</f>
        <v>YES</v>
      </c>
      <c r="G157" s="4"/>
      <c r="H157" s="4"/>
    </row>
    <row r="158" customFormat="false" ht="15.75" hidden="false" customHeight="false" outlineLevel="0" collapsed="false">
      <c r="A158" s="3" t="s">
        <v>247</v>
      </c>
      <c r="B158" s="3" t="str">
        <f aca="false">IF(COUNTIF(Final_CB_F5_V5!$B$2:$B$596,A158)&gt;=1,"YES","NO")</f>
        <v>YES</v>
      </c>
      <c r="C158" s="3" t="s">
        <v>257</v>
      </c>
      <c r="D158" s="3" t="str">
        <f aca="false">IF(COUNTIF(Final_CB_F5_V5!$C$2:$C$596,C158)&gt;=1,"YES","NO")</f>
        <v>YES</v>
      </c>
      <c r="G158" s="4"/>
      <c r="H158" s="4"/>
    </row>
    <row r="159" customFormat="false" ht="15.75" hidden="false" customHeight="false" outlineLevel="0" collapsed="false">
      <c r="A159" s="3" t="s">
        <v>254</v>
      </c>
      <c r="B159" s="3" t="str">
        <f aca="false">IF(COUNTIF(Final_CB_F5_V5!$B$2:$B$596,A159)&gt;=1,"YES","NO")</f>
        <v>YES</v>
      </c>
      <c r="C159" s="3" t="s">
        <v>258</v>
      </c>
      <c r="D159" s="3" t="str">
        <f aca="false">IF(COUNTIF(Final_CB_F5_V5!$C$2:$C$596,C159)&gt;=1,"YES","NO")</f>
        <v>YES</v>
      </c>
      <c r="G159" s="4"/>
      <c r="H159" s="4"/>
    </row>
    <row r="160" customFormat="false" ht="15.75" hidden="false" customHeight="false" outlineLevel="0" collapsed="false">
      <c r="A160" s="3" t="s">
        <v>256</v>
      </c>
      <c r="B160" s="3" t="str">
        <f aca="false">IF(COUNTIF(Final_CB_F5_V5!$B$2:$B$596,A160)&gt;=1,"YES","NO")</f>
        <v>YES</v>
      </c>
      <c r="C160" s="3" t="s">
        <v>259</v>
      </c>
      <c r="D160" s="3" t="str">
        <f aca="false">IF(COUNTIF(Final_CB_F5_V5!$C$2:$C$596,C160)&gt;=1,"YES","NO")</f>
        <v>YES</v>
      </c>
      <c r="G160" s="4"/>
      <c r="H160" s="4"/>
    </row>
    <row r="161" customFormat="false" ht="15.75" hidden="false" customHeight="false" outlineLevel="0" collapsed="false">
      <c r="A161" s="3" t="s">
        <v>260</v>
      </c>
      <c r="B161" s="3" t="str">
        <f aca="false">IF(COUNTIF(Final_CB_F5_V5!$B$2:$B$596,A161)&gt;=1,"YES","NO")</f>
        <v>YES</v>
      </c>
      <c r="C161" s="3" t="s">
        <v>261</v>
      </c>
      <c r="D161" s="3" t="str">
        <f aca="false">IF(COUNTIF(Final_CB_F5_V5!$C$2:$C$596,C161)&gt;=1,"YES","NO")</f>
        <v>YES</v>
      </c>
      <c r="G161" s="4"/>
      <c r="H161" s="4"/>
    </row>
    <row r="162" customFormat="false" ht="15.75" hidden="false" customHeight="false" outlineLevel="0" collapsed="false">
      <c r="A162" s="3" t="s">
        <v>258</v>
      </c>
      <c r="B162" s="3" t="str">
        <f aca="false">IF(COUNTIF(Final_CB_F5_V5!$B$2:$B$596,A162)&gt;=1,"YES","NO")</f>
        <v>YES</v>
      </c>
      <c r="C162" s="3" t="s">
        <v>262</v>
      </c>
      <c r="D162" s="3" t="str">
        <f aca="false">IF(COUNTIF(Final_CB_F5_V5!$C$2:$C$596,C162)&gt;=1,"YES","NO")</f>
        <v>YES</v>
      </c>
      <c r="G162" s="4"/>
      <c r="H162" s="4"/>
    </row>
    <row r="163" customFormat="false" ht="15.75" hidden="false" customHeight="false" outlineLevel="0" collapsed="false">
      <c r="A163" s="3" t="s">
        <v>259</v>
      </c>
      <c r="B163" s="3" t="str">
        <f aca="false">IF(COUNTIF(Final_CB_F5_V5!$B$2:$B$596,A163)&gt;=1,"YES","NO")</f>
        <v>YES</v>
      </c>
      <c r="C163" s="3" t="s">
        <v>263</v>
      </c>
      <c r="D163" s="3" t="str">
        <f aca="false">IF(COUNTIF(Final_CB_F5_V5!$C$2:$C$596,C163)&gt;=1,"YES","NO")</f>
        <v>YES</v>
      </c>
      <c r="G163" s="4"/>
      <c r="H163" s="4"/>
    </row>
    <row r="164" customFormat="false" ht="15.75" hidden="false" customHeight="false" outlineLevel="0" collapsed="false">
      <c r="A164" s="3" t="s">
        <v>264</v>
      </c>
      <c r="B164" s="3" t="str">
        <f aca="false">IF(COUNTIF(Final_CB_F5_V5!$B$2:$B$596,A164)&gt;=1,"YES","NO")</f>
        <v>YES</v>
      </c>
      <c r="C164" s="3" t="s">
        <v>265</v>
      </c>
      <c r="D164" s="3" t="str">
        <f aca="false">IF(COUNTIF(Final_CB_F5_V5!$C$2:$C$596,C164)&gt;=1,"YES","NO")</f>
        <v>YES</v>
      </c>
      <c r="G164" s="4"/>
      <c r="H164" s="4"/>
    </row>
    <row r="165" customFormat="false" ht="15.75" hidden="false" customHeight="false" outlineLevel="0" collapsed="false">
      <c r="A165" s="3" t="s">
        <v>266</v>
      </c>
      <c r="B165" s="3" t="str">
        <f aca="false">IF(COUNTIF(Final_CB_F5_V5!$B$2:$B$596,A165)&gt;=1,"YES","NO")</f>
        <v>YES</v>
      </c>
      <c r="C165" s="3" t="s">
        <v>267</v>
      </c>
      <c r="D165" s="3" t="str">
        <f aca="false">IF(COUNTIF(Final_CB_F5_V5!$C$2:$C$596,C165)&gt;=1,"YES","NO")</f>
        <v>YES</v>
      </c>
      <c r="G165" s="4"/>
      <c r="H165" s="4"/>
    </row>
    <row r="166" customFormat="false" ht="15.75" hidden="false" customHeight="false" outlineLevel="0" collapsed="false">
      <c r="A166" s="3" t="s">
        <v>268</v>
      </c>
      <c r="B166" s="3" t="str">
        <f aca="false">IF(COUNTIF(Final_CB_F5_V5!$B$2:$B$596,A166)&gt;=1,"YES","NO")</f>
        <v>YES</v>
      </c>
      <c r="C166" s="3" t="s">
        <v>269</v>
      </c>
      <c r="D166" s="3" t="str">
        <f aca="false">IF(COUNTIF(Final_CB_F5_V5!$C$2:$C$596,C166)&gt;=1,"YES","NO")</f>
        <v>YES</v>
      </c>
      <c r="G166" s="4"/>
      <c r="H166" s="4"/>
    </row>
    <row r="167" customFormat="false" ht="15.75" hidden="false" customHeight="false" outlineLevel="0" collapsed="false">
      <c r="A167" s="3" t="s">
        <v>261</v>
      </c>
      <c r="B167" s="3" t="str">
        <f aca="false">IF(COUNTIF(Final_CB_F5_V5!$B$2:$B$596,A167)&gt;=1,"YES","NO")</f>
        <v>YES</v>
      </c>
      <c r="C167" s="3" t="s">
        <v>270</v>
      </c>
      <c r="D167" s="3" t="str">
        <f aca="false">IF(COUNTIF(Final_CB_F5_V5!$C$2:$C$596,C167)&gt;=1,"YES","NO")</f>
        <v>YES</v>
      </c>
      <c r="G167" s="4"/>
      <c r="H167" s="4"/>
    </row>
    <row r="168" customFormat="false" ht="15.75" hidden="false" customHeight="false" outlineLevel="0" collapsed="false">
      <c r="A168" s="3" t="s">
        <v>271</v>
      </c>
      <c r="B168" s="3" t="str">
        <f aca="false">IF(COUNTIF(Final_CB_F5_V5!$B$2:$B$596,A168)&gt;=1,"YES","NO")</f>
        <v>YES</v>
      </c>
      <c r="C168" s="3" t="s">
        <v>272</v>
      </c>
      <c r="D168" s="3" t="str">
        <f aca="false">IF(COUNTIF(Final_CB_F5_V5!$C$2:$C$596,C168)&gt;=1,"YES","NO")</f>
        <v>YES</v>
      </c>
      <c r="G168" s="4"/>
      <c r="H168" s="4"/>
    </row>
    <row r="169" customFormat="false" ht="15.75" hidden="false" customHeight="false" outlineLevel="0" collapsed="false">
      <c r="A169" s="3" t="s">
        <v>262</v>
      </c>
      <c r="B169" s="3" t="str">
        <f aca="false">IF(COUNTIF(Final_CB_F5_V5!$B$2:$B$596,A169)&gt;=1,"YES","NO")</f>
        <v>YES</v>
      </c>
      <c r="D169" s="3" t="str">
        <f aca="false">IF(COUNTIF(Final_CB_F5_V5!$C$2:$C$596,C169)&gt;=1,"YES","NO")</f>
        <v>NO</v>
      </c>
      <c r="G169" s="4"/>
      <c r="H169" s="4"/>
    </row>
    <row r="170" customFormat="false" ht="15.75" hidden="false" customHeight="false" outlineLevel="0" collapsed="false">
      <c r="A170" s="3" t="s">
        <v>263</v>
      </c>
      <c r="B170" s="3" t="str">
        <f aca="false">IF(COUNTIF(Final_CB_F5_V5!$B$2:$B$596,A170)&gt;=1,"YES","NO")</f>
        <v>YES</v>
      </c>
      <c r="D170" s="3" t="str">
        <f aca="false">IF(COUNTIF(Final_CB_F5_V5!$C$2:$C$596,C170)&gt;=1,"YES","NO")</f>
        <v>NO</v>
      </c>
      <c r="G170" s="4"/>
      <c r="H170" s="4"/>
    </row>
    <row r="171" customFormat="false" ht="15.75" hidden="false" customHeight="false" outlineLevel="0" collapsed="false">
      <c r="A171" s="3" t="s">
        <v>265</v>
      </c>
      <c r="B171" s="3" t="str">
        <f aca="false">IF(COUNTIF(Final_CB_F5_V5!$B$2:$B$596,A171)&gt;=1,"YES","NO")</f>
        <v>YES</v>
      </c>
      <c r="D171" s="3" t="str">
        <f aca="false">IF(COUNTIF(Final_CB_F5_V5!$C$2:$C$596,C171)&gt;=1,"YES","NO")</f>
        <v>NO</v>
      </c>
      <c r="G171" s="4"/>
      <c r="H171" s="4"/>
    </row>
    <row r="172" customFormat="false" ht="15.75" hidden="false" customHeight="false" outlineLevel="0" collapsed="false">
      <c r="A172" s="3" t="s">
        <v>267</v>
      </c>
      <c r="B172" s="3" t="str">
        <f aca="false">IF(COUNTIF(Final_CB_F5_V5!$B$2:$B$596,A172)&gt;=1,"YES","NO")</f>
        <v>YES</v>
      </c>
      <c r="D172" s="3" t="str">
        <f aca="false">IF(COUNTIF(Final_CB_F5_V5!$C$2:$C$596,C172)&gt;=1,"YES","NO")</f>
        <v>NO</v>
      </c>
      <c r="G172" s="4"/>
      <c r="H172" s="4"/>
    </row>
    <row r="173" customFormat="false" ht="15.75" hidden="false" customHeight="false" outlineLevel="0" collapsed="false">
      <c r="A173" s="3" t="s">
        <v>269</v>
      </c>
      <c r="B173" s="3" t="str">
        <f aca="false">IF(COUNTIF(Final_CB_F5_V5!$B$2:$B$596,A173)&gt;=1,"YES","NO")</f>
        <v>YES</v>
      </c>
      <c r="D173" s="3" t="str">
        <f aca="false">IF(COUNTIF(Final_CB_F5_V5!$C$2:$C$596,C173)&gt;=1,"YES","NO")</f>
        <v>NO</v>
      </c>
      <c r="G173" s="4"/>
      <c r="H173" s="4"/>
    </row>
    <row r="174" customFormat="false" ht="15.75" hidden="false" customHeight="false" outlineLevel="0" collapsed="false">
      <c r="A174" s="3" t="s">
        <v>270</v>
      </c>
      <c r="B174" s="3" t="str">
        <f aca="false">IF(COUNTIF(Final_CB_F5_V5!$B$2:$B$596,A174)&gt;=1,"YES","NO")</f>
        <v>YES</v>
      </c>
      <c r="D174" s="3" t="str">
        <f aca="false">IF(COUNTIF(Final_CB_F5_V5!$C$2:$C$596,C174)&gt;=1,"YES","NO")</f>
        <v>NO</v>
      </c>
      <c r="G174" s="4"/>
      <c r="H174" s="4"/>
    </row>
    <row r="175" customFormat="false" ht="15.75" hidden="false" customHeight="false" outlineLevel="0" collapsed="false">
      <c r="A175" s="3" t="s">
        <v>273</v>
      </c>
      <c r="B175" s="3" t="str">
        <f aca="false">IF(COUNTIF(Final_CB_F5_V5!$B$2:$B$596,A175)&gt;=1,"YES","NO")</f>
        <v>YES</v>
      </c>
      <c r="D175" s="3" t="str">
        <f aca="false">IF(COUNTIF(Final_CB_F5_V5!$C$2:$C$596,C175)&gt;=1,"YES","NO")</f>
        <v>NO</v>
      </c>
      <c r="G175" s="4"/>
      <c r="H175" s="4"/>
    </row>
    <row r="176" customFormat="false" ht="15.75" hidden="false" customHeight="false" outlineLevel="0" collapsed="false">
      <c r="A176" s="3" t="s">
        <v>274</v>
      </c>
      <c r="B176" s="3" t="str">
        <f aca="false">IF(COUNTIF(Final_CB_F5_V5!$B$2:$B$596,A176)&gt;=1,"YES","NO")</f>
        <v>YES</v>
      </c>
      <c r="D176" s="3" t="str">
        <f aca="false">IF(COUNTIF(Final_CB_F5_V5!$C$2:$C$596,C176)&gt;=1,"YES","NO")</f>
        <v>NO</v>
      </c>
      <c r="G176" s="4"/>
      <c r="H176" s="4"/>
    </row>
    <row r="177" customFormat="false" ht="15.75" hidden="false" customHeight="false" outlineLevel="0" collapsed="false">
      <c r="A177" s="3" t="s">
        <v>275</v>
      </c>
      <c r="B177" s="3" t="str">
        <f aca="false">IF(COUNTIF(Final_CB_F5_V5!$B$2:$B$596,A177)&gt;=1,"YES","NO")</f>
        <v>YES</v>
      </c>
      <c r="D177" s="3" t="str">
        <f aca="false">IF(COUNTIF(Final_CB_F5_V5!$C$2:$C$596,C177)&gt;=1,"YES","NO")</f>
        <v>NO</v>
      </c>
      <c r="G177" s="4"/>
      <c r="H177" s="4"/>
    </row>
    <row r="178" customFormat="false" ht="15.75" hidden="false" customHeight="false" outlineLevel="0" collapsed="false">
      <c r="D178" s="3" t="str">
        <f aca="false">IF(COUNTIF(Final_CB_F5_V5!$C$2:$C$596,C178)&gt;=1,"YES","NO")</f>
        <v>NO</v>
      </c>
      <c r="G178" s="4"/>
      <c r="H178" s="4"/>
    </row>
    <row r="179" customFormat="false" ht="15.75" hidden="false" customHeight="false" outlineLevel="0" collapsed="false">
      <c r="D179" s="3" t="str">
        <f aca="false">IF(COUNTIF(Final_CB_F5_V5!$C$2:$C$596,C179)&gt;=1,"YES","NO")</f>
        <v>NO</v>
      </c>
      <c r="G179" s="4"/>
      <c r="H179" s="4"/>
    </row>
    <row r="180" customFormat="false" ht="15.75" hidden="false" customHeight="false" outlineLevel="0" collapsed="false">
      <c r="D180" s="3" t="str">
        <f aca="false">IF(COUNTIF(Final_CB_F5_V5!$C$2:$C$596,C180)&gt;=1,"YES","NO")</f>
        <v>NO</v>
      </c>
      <c r="G180" s="4"/>
      <c r="H180" s="4"/>
    </row>
    <row r="181" customFormat="false" ht="15.75" hidden="false" customHeight="false" outlineLevel="0" collapsed="false">
      <c r="D181" s="3" t="str">
        <f aca="false">IF(COUNTIF(Final_CB_F5_V5!$C$2:$C$596,C181)&gt;=1,"YES","NO")</f>
        <v>NO</v>
      </c>
      <c r="G181" s="4"/>
      <c r="H181" s="4"/>
    </row>
    <row r="182" customFormat="false" ht="15.75" hidden="false" customHeight="false" outlineLevel="0" collapsed="false">
      <c r="D182" s="3" t="str">
        <f aca="false">IF(COUNTIF(Final_CB_F5_V5!$C$2:$C$596,C182)&gt;=1,"YES","NO")</f>
        <v>NO</v>
      </c>
      <c r="G182" s="4"/>
      <c r="H182" s="4"/>
    </row>
    <row r="183" customFormat="false" ht="15.75" hidden="false" customHeight="false" outlineLevel="0" collapsed="false">
      <c r="D183" s="3" t="str">
        <f aca="false">IF(COUNTIF(Final_CB_F5_V5!$C$2:$C$596,C183)&gt;=1,"YES","NO")</f>
        <v>NO</v>
      </c>
      <c r="G183" s="4"/>
      <c r="H183" s="4"/>
    </row>
    <row r="184" customFormat="false" ht="15.75" hidden="false" customHeight="false" outlineLevel="0" collapsed="false">
      <c r="D184" s="3" t="str">
        <f aca="false">IF(COUNTIF(Final_CB_F5_V5!$C$2:$C$596,C184)&gt;=1,"YES","NO")</f>
        <v>NO</v>
      </c>
      <c r="G184" s="4"/>
      <c r="H184" s="4"/>
    </row>
    <row r="185" customFormat="false" ht="15.75" hidden="false" customHeight="false" outlineLevel="0" collapsed="false">
      <c r="D185" s="3" t="str">
        <f aca="false">IF(COUNTIF(Final_CB_F5_V5!$C$2:$C$596,C185)&gt;=1,"YES","NO")</f>
        <v>NO</v>
      </c>
      <c r="G185" s="4"/>
      <c r="H185" s="4"/>
    </row>
    <row r="186" customFormat="false" ht="15.75" hidden="false" customHeight="false" outlineLevel="0" collapsed="false">
      <c r="D186" s="3" t="str">
        <f aca="false">IF(COUNTIF(Final_CB_F5_V5!$C$2:$C$596,C186)&gt;=1,"YES","NO")</f>
        <v>NO</v>
      </c>
      <c r="G186" s="4"/>
      <c r="H186" s="4"/>
    </row>
    <row r="187" customFormat="false" ht="15.75" hidden="false" customHeight="false" outlineLevel="0" collapsed="false">
      <c r="D187" s="3" t="str">
        <f aca="false">IF(COUNTIF(Final_CB_F5_V5!$C$2:$C$596,C187)&gt;=1,"YES","NO")</f>
        <v>NO</v>
      </c>
      <c r="G187" s="4"/>
      <c r="H187" s="4"/>
    </row>
    <row r="188" customFormat="false" ht="15.75" hidden="false" customHeight="false" outlineLevel="0" collapsed="false">
      <c r="D188" s="3" t="str">
        <f aca="false">IF(COUNTIF(Final_CB_F5_V5!$C$2:$C$596,C188)&gt;=1,"YES","NO")</f>
        <v>NO</v>
      </c>
      <c r="G188" s="4"/>
      <c r="H188" s="4"/>
    </row>
    <row r="189" customFormat="false" ht="15.75" hidden="false" customHeight="false" outlineLevel="0" collapsed="false">
      <c r="D189" s="3" t="str">
        <f aca="false">IF(COUNTIF(Final_CB_F5_V5!$C$2:$C$596,C189)&gt;=1,"YES","NO")</f>
        <v>NO</v>
      </c>
      <c r="G189" s="4"/>
      <c r="H189" s="4"/>
    </row>
    <row r="190" customFormat="false" ht="15.75" hidden="false" customHeight="false" outlineLevel="0" collapsed="false">
      <c r="D190" s="3" t="str">
        <f aca="false">IF(COUNTIF(Final_CB_F5_V5!$C$2:$C$596,C190)&gt;=1,"YES","NO")</f>
        <v>NO</v>
      </c>
      <c r="G190" s="4"/>
      <c r="H190" s="4"/>
    </row>
    <row r="191" customFormat="false" ht="15.75" hidden="false" customHeight="false" outlineLevel="0" collapsed="false">
      <c r="D191" s="3" t="str">
        <f aca="false">IF(COUNTIF(Final_CB_F5_V5!$C$2:$C$596,C191)&gt;=1,"YES","NO")</f>
        <v>NO</v>
      </c>
      <c r="G191" s="4"/>
      <c r="H191" s="4"/>
    </row>
    <row r="192" customFormat="false" ht="15.75" hidden="false" customHeight="false" outlineLevel="0" collapsed="false">
      <c r="D192" s="3" t="str">
        <f aca="false">IF(COUNTIF(Final_CB_F5_V5!$C$2:$C$596,C192)&gt;=1,"YES","NO")</f>
        <v>NO</v>
      </c>
      <c r="G192" s="4"/>
      <c r="H192" s="4"/>
    </row>
    <row r="193" customFormat="false" ht="15.75" hidden="false" customHeight="false" outlineLevel="0" collapsed="false">
      <c r="D193" s="3" t="str">
        <f aca="false">IF(COUNTIF(Final_CB_F5_V5!$C$2:$C$596,C193)&gt;=1,"YES","NO")</f>
        <v>NO</v>
      </c>
      <c r="G193" s="4"/>
      <c r="H193" s="4"/>
    </row>
    <row r="194" customFormat="false" ht="15.75" hidden="false" customHeight="false" outlineLevel="0" collapsed="false">
      <c r="D194" s="3" t="str">
        <f aca="false">IF(COUNTIF(Final_CB_F5_V5!$C$2:$C$596,C194)&gt;=1,"YES","NO")</f>
        <v>NO</v>
      </c>
      <c r="G194" s="4"/>
      <c r="H194" s="4"/>
    </row>
    <row r="195" customFormat="false" ht="15.75" hidden="false" customHeight="false" outlineLevel="0" collapsed="false">
      <c r="D195" s="3" t="str">
        <f aca="false">IF(COUNTIF(Final_CB_F5_V5!$C$2:$C$596,C195)&gt;=1,"YES","NO")</f>
        <v>NO</v>
      </c>
      <c r="G195" s="4"/>
      <c r="H195" s="4"/>
    </row>
    <row r="196" customFormat="false" ht="15.75" hidden="false" customHeight="false" outlineLevel="0" collapsed="false">
      <c r="D196" s="3" t="str">
        <f aca="false">IF(COUNTIF(Final_CB_F5_V5!$C$2:$C$596,C196)&gt;=1,"YES","NO")</f>
        <v>NO</v>
      </c>
      <c r="G196" s="4"/>
      <c r="H196" s="4"/>
    </row>
    <row r="197" customFormat="false" ht="15.75" hidden="false" customHeight="false" outlineLevel="0" collapsed="false">
      <c r="D197" s="3" t="str">
        <f aca="false">IF(COUNTIF(Final_CB_F5_V5!$C$2:$C$596,C197)&gt;=1,"YES","NO")</f>
        <v>NO</v>
      </c>
      <c r="G197" s="4"/>
      <c r="H197" s="4"/>
    </row>
    <row r="198" customFormat="false" ht="15.75" hidden="false" customHeight="false" outlineLevel="0" collapsed="false">
      <c r="D198" s="3" t="str">
        <f aca="false">IF(COUNTIF(Final_CB_F5_V5!$C$2:$C$596,C198)&gt;=1,"YES","NO")</f>
        <v>NO</v>
      </c>
      <c r="G198" s="4"/>
      <c r="H198" s="4"/>
    </row>
    <row r="199" customFormat="false" ht="15.75" hidden="false" customHeight="false" outlineLevel="0" collapsed="false">
      <c r="G199" s="4"/>
      <c r="H199" s="4"/>
    </row>
    <row r="200" customFormat="false" ht="15.75" hidden="false" customHeight="false" outlineLevel="0" collapsed="false">
      <c r="G200" s="4"/>
      <c r="H200" s="4"/>
    </row>
    <row r="201" customFormat="false" ht="15.75" hidden="false" customHeight="false" outlineLevel="0" collapsed="false">
      <c r="G201" s="4"/>
      <c r="H201" s="4"/>
    </row>
    <row r="202" customFormat="false" ht="15.75" hidden="false" customHeight="false" outlineLevel="0" collapsed="false">
      <c r="G202" s="4"/>
      <c r="H202" s="4"/>
    </row>
    <row r="203" customFormat="false" ht="15.75" hidden="false" customHeight="false" outlineLevel="0" collapsed="false">
      <c r="G203" s="4"/>
      <c r="H203" s="4"/>
    </row>
    <row r="204" customFormat="false" ht="15.75" hidden="false" customHeight="false" outlineLevel="0" collapsed="false">
      <c r="G204" s="4"/>
      <c r="H204" s="4"/>
    </row>
    <row r="205" customFormat="false" ht="15.75" hidden="false" customHeight="false" outlineLevel="0" collapsed="false">
      <c r="G205" s="4"/>
      <c r="H205" s="4"/>
    </row>
    <row r="206" customFormat="false" ht="15.75" hidden="false" customHeight="false" outlineLevel="0" collapsed="false">
      <c r="G206" s="4"/>
      <c r="H206" s="4"/>
    </row>
    <row r="207" customFormat="false" ht="15.75" hidden="false" customHeight="false" outlineLevel="0" collapsed="false">
      <c r="G207" s="4"/>
      <c r="H207" s="4"/>
    </row>
    <row r="208" customFormat="false" ht="15.75" hidden="false" customHeight="false" outlineLevel="0" collapsed="false">
      <c r="G208" s="4"/>
      <c r="H208" s="4"/>
    </row>
    <row r="209" customFormat="false" ht="15.75" hidden="false" customHeight="false" outlineLevel="0" collapsed="false">
      <c r="G209" s="4"/>
      <c r="H209" s="4"/>
    </row>
    <row r="210" customFormat="false" ht="15.75" hidden="false" customHeight="false" outlineLevel="0" collapsed="false">
      <c r="G210" s="4"/>
      <c r="H210" s="4"/>
    </row>
    <row r="211" customFormat="false" ht="15.75" hidden="false" customHeight="false" outlineLevel="0" collapsed="false">
      <c r="G211" s="4"/>
      <c r="H211" s="4"/>
    </row>
    <row r="212" customFormat="false" ht="15.75" hidden="false" customHeight="false" outlineLevel="0" collapsed="false">
      <c r="G212" s="4"/>
      <c r="H212" s="4"/>
    </row>
    <row r="213" customFormat="false" ht="15.75" hidden="false" customHeight="false" outlineLevel="0" collapsed="false">
      <c r="G213" s="4"/>
      <c r="H213" s="4"/>
    </row>
    <row r="214" customFormat="false" ht="15.75" hidden="false" customHeight="false" outlineLevel="0" collapsed="false">
      <c r="G214" s="4"/>
      <c r="H214" s="4"/>
    </row>
    <row r="215" customFormat="false" ht="15.75" hidden="false" customHeight="false" outlineLevel="0" collapsed="false">
      <c r="G215" s="4"/>
      <c r="H215" s="4"/>
    </row>
    <row r="216" customFormat="false" ht="15.75" hidden="false" customHeight="false" outlineLevel="0" collapsed="false">
      <c r="G216" s="4"/>
      <c r="H216" s="4"/>
    </row>
    <row r="217" customFormat="false" ht="15.75" hidden="false" customHeight="false" outlineLevel="0" collapsed="false">
      <c r="G217" s="4"/>
      <c r="H217" s="4"/>
    </row>
    <row r="218" customFormat="false" ht="15.75" hidden="false" customHeight="false" outlineLevel="0" collapsed="false">
      <c r="G218" s="4"/>
      <c r="H218" s="4"/>
    </row>
    <row r="219" customFormat="false" ht="15.75" hidden="false" customHeight="false" outlineLevel="0" collapsed="false">
      <c r="G219" s="4"/>
      <c r="H219" s="4"/>
    </row>
    <row r="220" customFormat="false" ht="15.75" hidden="false" customHeight="false" outlineLevel="0" collapsed="false">
      <c r="G220" s="4"/>
      <c r="H220" s="4"/>
    </row>
    <row r="221" customFormat="false" ht="15.75" hidden="false" customHeight="false" outlineLevel="0" collapsed="false">
      <c r="G221" s="4"/>
      <c r="H221" s="4"/>
    </row>
    <row r="222" customFormat="false" ht="15.75" hidden="false" customHeight="false" outlineLevel="0" collapsed="false">
      <c r="G222" s="4"/>
      <c r="H222" s="4"/>
    </row>
    <row r="223" customFormat="false" ht="15.75" hidden="false" customHeight="false" outlineLevel="0" collapsed="false">
      <c r="G223" s="4"/>
      <c r="H223" s="4"/>
    </row>
    <row r="224" customFormat="false" ht="15.75" hidden="false" customHeight="false" outlineLevel="0" collapsed="false">
      <c r="G224" s="4"/>
      <c r="H224" s="4"/>
    </row>
    <row r="225" customFormat="false" ht="15.75" hidden="false" customHeight="false" outlineLevel="0" collapsed="false">
      <c r="G225" s="4"/>
      <c r="H225" s="4"/>
    </row>
    <row r="226" customFormat="false" ht="15.75" hidden="false" customHeight="false" outlineLevel="0" collapsed="false">
      <c r="G226" s="4"/>
      <c r="H226" s="4"/>
    </row>
    <row r="227" customFormat="false" ht="15.75" hidden="false" customHeight="false" outlineLevel="0" collapsed="false">
      <c r="G227" s="4"/>
      <c r="H227" s="4"/>
    </row>
    <row r="228" customFormat="false" ht="15.75" hidden="false" customHeight="false" outlineLevel="0" collapsed="false">
      <c r="G228" s="4"/>
      <c r="H228" s="4"/>
    </row>
    <row r="229" customFormat="false" ht="15.75" hidden="false" customHeight="false" outlineLevel="0" collapsed="false">
      <c r="G229" s="4"/>
      <c r="H229" s="4"/>
    </row>
    <row r="230" customFormat="false" ht="15.75" hidden="false" customHeight="false" outlineLevel="0" collapsed="false">
      <c r="G230" s="4"/>
      <c r="H230" s="4"/>
    </row>
    <row r="231" customFormat="false" ht="15.75" hidden="false" customHeight="false" outlineLevel="0" collapsed="false">
      <c r="G231" s="4"/>
      <c r="H231" s="4"/>
    </row>
    <row r="232" customFormat="false" ht="15.75" hidden="false" customHeight="false" outlineLevel="0" collapsed="false">
      <c r="G232" s="4"/>
      <c r="H232" s="4"/>
    </row>
    <row r="233" customFormat="false" ht="15.75" hidden="false" customHeight="false" outlineLevel="0" collapsed="false">
      <c r="G233" s="4"/>
      <c r="H233" s="4"/>
    </row>
    <row r="234" customFormat="false" ht="15.75" hidden="false" customHeight="false" outlineLevel="0" collapsed="false">
      <c r="G234" s="4"/>
      <c r="H234" s="4"/>
    </row>
    <row r="235" customFormat="false" ht="15.75" hidden="false" customHeight="false" outlineLevel="0" collapsed="false">
      <c r="G235" s="4"/>
      <c r="H235" s="4"/>
    </row>
    <row r="236" customFormat="false" ht="15.75" hidden="false" customHeight="false" outlineLevel="0" collapsed="false">
      <c r="G236" s="4"/>
      <c r="H236" s="4"/>
    </row>
    <row r="237" customFormat="false" ht="15.75" hidden="false" customHeight="false" outlineLevel="0" collapsed="false">
      <c r="G237" s="4"/>
      <c r="H237" s="4"/>
    </row>
    <row r="238" customFormat="false" ht="15.75" hidden="false" customHeight="false" outlineLevel="0" collapsed="false">
      <c r="G238" s="4"/>
      <c r="H238" s="4"/>
    </row>
    <row r="239" customFormat="false" ht="15.75" hidden="false" customHeight="false" outlineLevel="0" collapsed="false">
      <c r="G239" s="4"/>
      <c r="H239" s="4"/>
    </row>
    <row r="240" customFormat="false" ht="15.75" hidden="false" customHeight="false" outlineLevel="0" collapsed="false">
      <c r="G240" s="4"/>
      <c r="H240" s="4"/>
    </row>
    <row r="241" customFormat="false" ht="15.75" hidden="false" customHeight="false" outlineLevel="0" collapsed="false">
      <c r="G241" s="4"/>
      <c r="H241" s="4"/>
    </row>
    <row r="242" customFormat="false" ht="15.75" hidden="false" customHeight="false" outlineLevel="0" collapsed="false">
      <c r="G242" s="4"/>
      <c r="H242" s="4"/>
    </row>
    <row r="243" customFormat="false" ht="15.75" hidden="false" customHeight="false" outlineLevel="0" collapsed="false">
      <c r="G243" s="4"/>
      <c r="H243" s="4"/>
    </row>
    <row r="244" customFormat="false" ht="15.75" hidden="false" customHeight="false" outlineLevel="0" collapsed="false">
      <c r="G244" s="4"/>
      <c r="H244" s="4"/>
    </row>
    <row r="245" customFormat="false" ht="15.75" hidden="false" customHeight="false" outlineLevel="0" collapsed="false">
      <c r="G245" s="4"/>
      <c r="H245" s="4"/>
    </row>
    <row r="246" customFormat="false" ht="15.75" hidden="false" customHeight="false" outlineLevel="0" collapsed="false">
      <c r="G246" s="4"/>
      <c r="H246" s="4"/>
    </row>
    <row r="247" customFormat="false" ht="15.75" hidden="false" customHeight="false" outlineLevel="0" collapsed="false">
      <c r="G247" s="4"/>
      <c r="H247" s="4"/>
    </row>
    <row r="248" customFormat="false" ht="15.75" hidden="false" customHeight="false" outlineLevel="0" collapsed="false">
      <c r="G248" s="4"/>
      <c r="H248" s="4"/>
    </row>
    <row r="249" customFormat="false" ht="15.75" hidden="false" customHeight="false" outlineLevel="0" collapsed="false">
      <c r="G249" s="4"/>
      <c r="H249" s="4"/>
    </row>
    <row r="250" customFormat="false" ht="15.75" hidden="false" customHeight="false" outlineLevel="0" collapsed="false">
      <c r="G250" s="4"/>
      <c r="H250" s="4"/>
    </row>
    <row r="251" customFormat="false" ht="15.75" hidden="false" customHeight="false" outlineLevel="0" collapsed="false">
      <c r="G251" s="4"/>
      <c r="H251" s="4"/>
    </row>
    <row r="252" customFormat="false" ht="15.75" hidden="false" customHeight="false" outlineLevel="0" collapsed="false">
      <c r="G252" s="4"/>
      <c r="H252" s="4"/>
    </row>
    <row r="253" customFormat="false" ht="15.75" hidden="false" customHeight="false" outlineLevel="0" collapsed="false">
      <c r="G253" s="4"/>
      <c r="H253" s="4"/>
    </row>
    <row r="254" customFormat="false" ht="15.75" hidden="false" customHeight="false" outlineLevel="0" collapsed="false">
      <c r="G254" s="4"/>
      <c r="H254" s="4"/>
    </row>
    <row r="255" customFormat="false" ht="15.75" hidden="false" customHeight="false" outlineLevel="0" collapsed="false">
      <c r="G255" s="4"/>
      <c r="H255" s="4"/>
    </row>
    <row r="256" customFormat="false" ht="15.75" hidden="false" customHeight="false" outlineLevel="0" collapsed="false">
      <c r="G256" s="4"/>
      <c r="H256" s="4"/>
    </row>
    <row r="257" customFormat="false" ht="15.75" hidden="false" customHeight="false" outlineLevel="0" collapsed="false">
      <c r="G257" s="4"/>
      <c r="H257" s="4"/>
    </row>
    <row r="258" customFormat="false" ht="15.75" hidden="false" customHeight="false" outlineLevel="0" collapsed="false">
      <c r="G258" s="4"/>
      <c r="H258" s="4"/>
    </row>
    <row r="259" customFormat="false" ht="15.75" hidden="false" customHeight="false" outlineLevel="0" collapsed="false">
      <c r="G259" s="4"/>
      <c r="H259" s="4"/>
    </row>
    <row r="260" customFormat="false" ht="15.75" hidden="false" customHeight="false" outlineLevel="0" collapsed="false">
      <c r="G260" s="4"/>
      <c r="H260" s="4"/>
    </row>
    <row r="261" customFormat="false" ht="15.75" hidden="false" customHeight="false" outlineLevel="0" collapsed="false">
      <c r="G261" s="4"/>
      <c r="H261" s="4"/>
    </row>
    <row r="262" customFormat="false" ht="15.75" hidden="false" customHeight="false" outlineLevel="0" collapsed="false">
      <c r="G262" s="4"/>
      <c r="H262" s="4"/>
    </row>
    <row r="263" customFormat="false" ht="15.75" hidden="false" customHeight="false" outlineLevel="0" collapsed="false">
      <c r="G263" s="4"/>
      <c r="H263" s="4"/>
    </row>
    <row r="264" customFormat="false" ht="15.75" hidden="false" customHeight="false" outlineLevel="0" collapsed="false">
      <c r="G264" s="4"/>
      <c r="H264" s="4"/>
    </row>
    <row r="265" customFormat="false" ht="15.75" hidden="false" customHeight="false" outlineLevel="0" collapsed="false">
      <c r="G265" s="4"/>
      <c r="H265" s="4"/>
    </row>
    <row r="266" customFormat="false" ht="15.75" hidden="false" customHeight="false" outlineLevel="0" collapsed="false">
      <c r="G266" s="4"/>
      <c r="H266" s="4"/>
    </row>
    <row r="267" customFormat="false" ht="15.75" hidden="false" customHeight="false" outlineLevel="0" collapsed="false">
      <c r="G267" s="4"/>
      <c r="H267" s="4"/>
    </row>
    <row r="268" customFormat="false" ht="15.75" hidden="false" customHeight="false" outlineLevel="0" collapsed="false">
      <c r="G268" s="4"/>
      <c r="H268" s="4"/>
    </row>
    <row r="269" customFormat="false" ht="15.75" hidden="false" customHeight="false" outlineLevel="0" collapsed="false">
      <c r="G269" s="4"/>
      <c r="H269" s="4"/>
    </row>
    <row r="270" customFormat="false" ht="15.75" hidden="false" customHeight="false" outlineLevel="0" collapsed="false">
      <c r="G270" s="4"/>
      <c r="H270" s="4"/>
    </row>
    <row r="271" customFormat="false" ht="15.75" hidden="false" customHeight="false" outlineLevel="0" collapsed="false">
      <c r="G271" s="4"/>
      <c r="H271" s="4"/>
    </row>
    <row r="272" customFormat="false" ht="15.75" hidden="false" customHeight="false" outlineLevel="0" collapsed="false">
      <c r="G272" s="4"/>
      <c r="H272" s="4"/>
    </row>
    <row r="273" customFormat="false" ht="15.75" hidden="false" customHeight="false" outlineLevel="0" collapsed="false">
      <c r="G273" s="4"/>
      <c r="H273" s="4"/>
    </row>
    <row r="274" customFormat="false" ht="15.75" hidden="false" customHeight="false" outlineLevel="0" collapsed="false">
      <c r="G274" s="4"/>
      <c r="H274" s="4"/>
    </row>
    <row r="275" customFormat="false" ht="15.75" hidden="false" customHeight="false" outlineLevel="0" collapsed="false">
      <c r="G275" s="4"/>
      <c r="H275" s="4"/>
    </row>
    <row r="276" customFormat="false" ht="15.75" hidden="false" customHeight="false" outlineLevel="0" collapsed="false">
      <c r="G276" s="4"/>
      <c r="H276" s="4"/>
    </row>
    <row r="277" customFormat="false" ht="15.75" hidden="false" customHeight="false" outlineLevel="0" collapsed="false">
      <c r="G277" s="4"/>
      <c r="H277" s="4"/>
    </row>
    <row r="278" customFormat="false" ht="15.75" hidden="false" customHeight="false" outlineLevel="0" collapsed="false">
      <c r="G278" s="4"/>
      <c r="H278" s="4"/>
    </row>
    <row r="279" customFormat="false" ht="15.75" hidden="false" customHeight="false" outlineLevel="0" collapsed="false">
      <c r="G279" s="4"/>
      <c r="H279" s="4"/>
    </row>
    <row r="280" customFormat="false" ht="15.75" hidden="false" customHeight="false" outlineLevel="0" collapsed="false">
      <c r="G280" s="4"/>
      <c r="H280" s="4"/>
    </row>
    <row r="281" customFormat="false" ht="15.75" hidden="false" customHeight="false" outlineLevel="0" collapsed="false">
      <c r="G281" s="4"/>
      <c r="H281" s="4"/>
    </row>
    <row r="282" customFormat="false" ht="15.75" hidden="false" customHeight="false" outlineLevel="0" collapsed="false">
      <c r="G282" s="4"/>
      <c r="H282" s="4"/>
    </row>
    <row r="283" customFormat="false" ht="15.75" hidden="false" customHeight="false" outlineLevel="0" collapsed="false">
      <c r="G283" s="4"/>
      <c r="H283" s="4"/>
    </row>
    <row r="284" customFormat="false" ht="15.75" hidden="false" customHeight="false" outlineLevel="0" collapsed="false">
      <c r="G284" s="4"/>
      <c r="H284" s="4"/>
    </row>
    <row r="285" customFormat="false" ht="15.75" hidden="false" customHeight="false" outlineLevel="0" collapsed="false">
      <c r="G285" s="4"/>
      <c r="H285" s="4"/>
    </row>
    <row r="286" customFormat="false" ht="15.75" hidden="false" customHeight="false" outlineLevel="0" collapsed="false">
      <c r="G286" s="4"/>
      <c r="H286" s="4"/>
    </row>
    <row r="287" customFormat="false" ht="15.75" hidden="false" customHeight="false" outlineLevel="0" collapsed="false">
      <c r="G287" s="4"/>
      <c r="H287" s="4"/>
    </row>
    <row r="288" customFormat="false" ht="15.75" hidden="false" customHeight="false" outlineLevel="0" collapsed="false">
      <c r="G288" s="4"/>
      <c r="H288" s="4"/>
    </row>
    <row r="289" customFormat="false" ht="15.75" hidden="false" customHeight="false" outlineLevel="0" collapsed="false">
      <c r="G289" s="4"/>
      <c r="H289" s="4"/>
    </row>
    <row r="290" customFormat="false" ht="15.75" hidden="false" customHeight="false" outlineLevel="0" collapsed="false">
      <c r="G290" s="4"/>
      <c r="H290" s="4"/>
    </row>
    <row r="291" customFormat="false" ht="15.75" hidden="false" customHeight="false" outlineLevel="0" collapsed="false">
      <c r="G291" s="4"/>
      <c r="H291" s="4"/>
    </row>
    <row r="292" customFormat="false" ht="15.75" hidden="false" customHeight="false" outlineLevel="0" collapsed="false">
      <c r="G292" s="4"/>
      <c r="H292" s="4"/>
    </row>
    <row r="293" customFormat="false" ht="15.75" hidden="false" customHeight="false" outlineLevel="0" collapsed="false">
      <c r="G293" s="4"/>
      <c r="H293" s="4"/>
    </row>
    <row r="294" customFormat="false" ht="15.75" hidden="false" customHeight="false" outlineLevel="0" collapsed="false">
      <c r="G294" s="4"/>
      <c r="H294" s="4"/>
    </row>
    <row r="295" customFormat="false" ht="15.75" hidden="false" customHeight="false" outlineLevel="0" collapsed="false">
      <c r="G295" s="4"/>
      <c r="H295" s="4"/>
    </row>
    <row r="296" customFormat="false" ht="15.75" hidden="false" customHeight="false" outlineLevel="0" collapsed="false">
      <c r="G296" s="4"/>
      <c r="H296" s="4"/>
    </row>
    <row r="297" customFormat="false" ht="15.75" hidden="false" customHeight="false" outlineLevel="0" collapsed="false">
      <c r="G297" s="4"/>
      <c r="H297" s="4"/>
    </row>
    <row r="298" customFormat="false" ht="15.75" hidden="false" customHeight="false" outlineLevel="0" collapsed="false"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</sheetData>
  <conditionalFormatting sqref="A2:A1000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50"/>
    <col collapsed="false" customWidth="true" hidden="false" outlineLevel="0" max="3" min="3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3" t="s">
        <v>1275</v>
      </c>
      <c r="B2" s="3"/>
      <c r="C2" s="3"/>
    </row>
    <row r="3" customFormat="false" ht="15.75" hidden="false" customHeight="false" outlineLevel="0" collapsed="false">
      <c r="A3" s="3"/>
      <c r="B3" s="3"/>
      <c r="C3" s="3"/>
    </row>
    <row r="4" customFormat="false" ht="15.75" hidden="false" customHeight="false" outlineLevel="0" collapsed="false">
      <c r="A4" s="3" t="s">
        <v>687</v>
      </c>
      <c r="B4" s="3" t="s">
        <v>1232</v>
      </c>
      <c r="C4" s="3" t="s">
        <v>1232</v>
      </c>
    </row>
    <row r="5" customFormat="false" ht="15.75" hidden="false" customHeight="false" outlineLevel="0" collapsed="false">
      <c r="A5" s="3" t="s">
        <v>687</v>
      </c>
      <c r="B5" s="3" t="s">
        <v>1241</v>
      </c>
      <c r="C5" s="3" t="s">
        <v>1241</v>
      </c>
    </row>
    <row r="6" customFormat="false" ht="15.75" hidden="false" customHeight="false" outlineLevel="0" collapsed="false">
      <c r="A6" s="3" t="s">
        <v>687</v>
      </c>
      <c r="B6" s="3" t="s">
        <v>1221</v>
      </c>
      <c r="C6" s="3"/>
    </row>
    <row r="7" customFormat="false" ht="15.75" hidden="false" customHeight="false" outlineLevel="0" collapsed="false">
      <c r="A7" s="3" t="s">
        <v>305</v>
      </c>
      <c r="B7" s="3" t="s">
        <v>1256</v>
      </c>
      <c r="C7" s="3" t="s">
        <v>1256</v>
      </c>
    </row>
    <row r="8" customFormat="false" ht="15.75" hidden="false" customHeight="false" outlineLevel="0" collapsed="false">
      <c r="A8" s="3" t="s">
        <v>305</v>
      </c>
      <c r="B8" s="3" t="s">
        <v>1258</v>
      </c>
      <c r="C8" s="3" t="s">
        <v>1258</v>
      </c>
    </row>
    <row r="9" customFormat="false" ht="15.75" hidden="false" customHeight="false" outlineLevel="0" collapsed="false">
      <c r="A9" s="3" t="s">
        <v>305</v>
      </c>
      <c r="B9" s="3" t="s">
        <v>1207</v>
      </c>
      <c r="C9" s="3" t="s">
        <v>1207</v>
      </c>
    </row>
    <row r="10" customFormat="false" ht="15.75" hidden="false" customHeight="false" outlineLevel="0" collapsed="false">
      <c r="A10" s="3" t="s">
        <v>305</v>
      </c>
      <c r="B10" s="3"/>
      <c r="C10" s="3" t="s">
        <v>1213</v>
      </c>
    </row>
    <row r="11" customFormat="false" ht="15.75" hidden="false" customHeight="false" outlineLevel="0" collapsed="false">
      <c r="A11" s="3" t="s">
        <v>305</v>
      </c>
      <c r="B11" s="3"/>
      <c r="C11" s="3" t="s">
        <v>1215</v>
      </c>
    </row>
    <row r="12" customFormat="false" ht="15.75" hidden="false" customHeight="false" outlineLevel="0" collapsed="false">
      <c r="A12" s="3" t="s">
        <v>1276</v>
      </c>
      <c r="B12" s="3" t="s">
        <v>1234</v>
      </c>
      <c r="C12" s="3" t="s">
        <v>1234</v>
      </c>
    </row>
    <row r="13" customFormat="false" ht="15.75" hidden="false" customHeight="false" outlineLevel="0" collapsed="false">
      <c r="A13" s="3" t="s">
        <v>1276</v>
      </c>
      <c r="B13" s="3" t="s">
        <v>1216</v>
      </c>
      <c r="C13" s="3"/>
    </row>
    <row r="14" customFormat="false" ht="15.75" hidden="false" customHeight="false" outlineLevel="0" collapsed="false">
      <c r="A14" s="3" t="s">
        <v>1276</v>
      </c>
      <c r="B14" s="3" t="s">
        <v>1235</v>
      </c>
      <c r="C14" s="3" t="s">
        <v>1235</v>
      </c>
    </row>
    <row r="15" customFormat="false" ht="15.75" hidden="false" customHeight="false" outlineLevel="0" collapsed="false">
      <c r="A15" s="3" t="s">
        <v>1276</v>
      </c>
      <c r="B15" s="3" t="s">
        <v>1218</v>
      </c>
      <c r="C15" s="3"/>
    </row>
    <row r="16" customFormat="false" ht="15.75" hidden="false" customHeight="false" outlineLevel="0" collapsed="false">
      <c r="A16" s="3" t="s">
        <v>1276</v>
      </c>
      <c r="B16" s="3" t="s">
        <v>1240</v>
      </c>
      <c r="C16" s="3" t="s">
        <v>1240</v>
      </c>
    </row>
    <row r="17" customFormat="false" ht="15.75" hidden="false" customHeight="false" outlineLevel="0" collapsed="false">
      <c r="A17" s="3" t="s">
        <v>1276</v>
      </c>
      <c r="B17" s="3" t="s">
        <v>1219</v>
      </c>
      <c r="C17" s="3"/>
      <c r="E17" s="3" t="s">
        <v>1277</v>
      </c>
    </row>
    <row r="18" customFormat="false" ht="15.75" hidden="false" customHeight="false" outlineLevel="0" collapsed="false">
      <c r="A18" s="3" t="s">
        <v>1276</v>
      </c>
      <c r="B18" s="3" t="s">
        <v>1243</v>
      </c>
      <c r="C18" s="3" t="s">
        <v>1243</v>
      </c>
    </row>
    <row r="19" customFormat="false" ht="15.75" hidden="false" customHeight="false" outlineLevel="0" collapsed="false">
      <c r="A19" s="3" t="s">
        <v>1276</v>
      </c>
      <c r="B19" s="3"/>
      <c r="C19" s="3" t="s">
        <v>1217</v>
      </c>
    </row>
    <row r="20" customFormat="false" ht="15.75" hidden="false" customHeight="false" outlineLevel="0" collapsed="false">
      <c r="A20" s="3" t="s">
        <v>1276</v>
      </c>
      <c r="B20" s="3" t="s">
        <v>1237</v>
      </c>
      <c r="C20" s="3" t="s">
        <v>1237</v>
      </c>
    </row>
    <row r="21" customFormat="false" ht="15.75" hidden="false" customHeight="false" outlineLevel="0" collapsed="false">
      <c r="A21" s="3" t="s">
        <v>1276</v>
      </c>
      <c r="B21" s="3" t="s">
        <v>1212</v>
      </c>
      <c r="C21" s="3" t="s">
        <v>1212</v>
      </c>
    </row>
    <row r="22" customFormat="false" ht="15.75" hidden="false" customHeight="false" outlineLevel="0" collapsed="false">
      <c r="A22" s="3" t="s">
        <v>1278</v>
      </c>
      <c r="B22" s="3" t="s">
        <v>1236</v>
      </c>
      <c r="C22" s="3" t="s">
        <v>1236</v>
      </c>
    </row>
    <row r="23" customFormat="false" ht="15.75" hidden="false" customHeight="false" outlineLevel="0" collapsed="false">
      <c r="A23" s="3" t="s">
        <v>1279</v>
      </c>
      <c r="B23" s="3" t="s">
        <v>1272</v>
      </c>
      <c r="C23" s="3"/>
    </row>
    <row r="24" customFormat="false" ht="15.75" hidden="false" customHeight="false" outlineLevel="0" collapsed="false">
      <c r="A24" s="3" t="s">
        <v>1279</v>
      </c>
      <c r="B24" s="3" t="s">
        <v>1273</v>
      </c>
      <c r="C24" s="3"/>
    </row>
    <row r="25" customFormat="false" ht="15.75" hidden="false" customHeight="false" outlineLevel="0" collapsed="false">
      <c r="A25" s="3" t="s">
        <v>1279</v>
      </c>
      <c r="B25" s="3" t="s">
        <v>1274</v>
      </c>
      <c r="C25" s="3"/>
    </row>
    <row r="26" customFormat="false" ht="15.75" hidden="false" customHeight="false" outlineLevel="0" collapsed="false">
      <c r="A26" s="3" t="s">
        <v>1279</v>
      </c>
      <c r="B26" s="3"/>
      <c r="C26" s="3" t="s">
        <v>1211</v>
      </c>
    </row>
    <row r="27" customFormat="false" ht="15.75" hidden="false" customHeight="false" outlineLevel="0" collapsed="false">
      <c r="A27" s="3" t="s">
        <v>1280</v>
      </c>
      <c r="B27" s="3" t="s">
        <v>1238</v>
      </c>
      <c r="C27" s="3" t="s">
        <v>1238</v>
      </c>
    </row>
    <row r="28" customFormat="false" ht="15.75" hidden="false" customHeight="false" outlineLevel="0" collapsed="false">
      <c r="A28" s="3" t="s">
        <v>690</v>
      </c>
      <c r="B28" s="3" t="s">
        <v>1252</v>
      </c>
      <c r="C28" s="3" t="s">
        <v>1252</v>
      </c>
    </row>
    <row r="29" customFormat="false" ht="15.75" hidden="false" customHeight="false" outlineLevel="0" collapsed="false">
      <c r="A29" s="3" t="s">
        <v>690</v>
      </c>
      <c r="B29" s="3" t="s">
        <v>1267</v>
      </c>
      <c r="C29" s="3" t="s">
        <v>1267</v>
      </c>
    </row>
    <row r="30" customFormat="false" ht="15.75" hidden="false" customHeight="false" outlineLevel="0" collapsed="false">
      <c r="A30" s="3" t="s">
        <v>690</v>
      </c>
      <c r="B30" s="3" t="s">
        <v>1210</v>
      </c>
      <c r="C30" s="3"/>
    </row>
    <row r="31" customFormat="false" ht="15.75" hidden="false" customHeight="false" outlineLevel="0" collapsed="false">
      <c r="A31" s="3" t="s">
        <v>690</v>
      </c>
      <c r="B31" s="3" t="s">
        <v>1268</v>
      </c>
      <c r="C31" s="3" t="s">
        <v>1268</v>
      </c>
    </row>
    <row r="32" customFormat="false" ht="15.75" hidden="false" customHeight="false" outlineLevel="0" collapsed="false">
      <c r="A32" s="3" t="s">
        <v>691</v>
      </c>
      <c r="B32" s="3" t="s">
        <v>1253</v>
      </c>
      <c r="C32" s="3" t="s">
        <v>1253</v>
      </c>
    </row>
    <row r="33" customFormat="false" ht="15.75" hidden="false" customHeight="false" outlineLevel="0" collapsed="false">
      <c r="A33" s="3" t="s">
        <v>691</v>
      </c>
      <c r="B33" s="3" t="s">
        <v>1261</v>
      </c>
      <c r="C33" s="3" t="s">
        <v>1261</v>
      </c>
    </row>
    <row r="34" customFormat="false" ht="15.75" hidden="false" customHeight="false" outlineLevel="0" collapsed="false">
      <c r="A34" s="3" t="s">
        <v>691</v>
      </c>
      <c r="B34" s="3" t="s">
        <v>1271</v>
      </c>
      <c r="C34" s="3"/>
    </row>
    <row r="35" customFormat="false" ht="15.75" hidden="false" customHeight="false" outlineLevel="0" collapsed="false">
      <c r="A35" s="3" t="s">
        <v>691</v>
      </c>
      <c r="B35" s="3" t="s">
        <v>1244</v>
      </c>
      <c r="C35" s="3" t="s">
        <v>1244</v>
      </c>
    </row>
    <row r="36" customFormat="false" ht="15.75" hidden="false" customHeight="false" outlineLevel="0" collapsed="false">
      <c r="A36" s="4"/>
      <c r="C36" s="3"/>
    </row>
    <row r="37" customFormat="false" ht="15.75" hidden="false" customHeight="false" outlineLevel="0" collapsed="false">
      <c r="A37" s="4"/>
      <c r="C37" s="3"/>
    </row>
    <row r="38" customFormat="false" ht="15.75" hidden="false" customHeight="false" outlineLevel="0" collapsed="false">
      <c r="A38" s="3" t="s">
        <v>687</v>
      </c>
      <c r="B38" s="3" t="s">
        <v>1221</v>
      </c>
      <c r="C38" s="3"/>
    </row>
    <row r="39" customFormat="false" ht="15.75" hidden="false" customHeight="false" outlineLevel="0" collapsed="false">
      <c r="A39" s="3" t="s">
        <v>305</v>
      </c>
      <c r="B39" s="3" t="s">
        <v>1247</v>
      </c>
      <c r="C39" s="3" t="s">
        <v>1247</v>
      </c>
    </row>
    <row r="40" customFormat="false" ht="15.75" hidden="false" customHeight="false" outlineLevel="0" collapsed="false">
      <c r="A40" s="3" t="s">
        <v>305</v>
      </c>
      <c r="B40" s="3" t="s">
        <v>521</v>
      </c>
      <c r="C40" s="3" t="s">
        <v>1250</v>
      </c>
    </row>
    <row r="41" customFormat="false" ht="15.75" hidden="false" customHeight="false" outlineLevel="0" collapsed="false">
      <c r="A41" s="3" t="s">
        <v>698</v>
      </c>
      <c r="C41" s="3" t="s">
        <v>1259</v>
      </c>
    </row>
    <row r="42" customFormat="false" ht="15.75" hidden="false" customHeight="false" outlineLevel="0" collapsed="false">
      <c r="A42" s="3" t="s">
        <v>1281</v>
      </c>
      <c r="C42" s="3" t="s">
        <v>1246</v>
      </c>
    </row>
    <row r="43" customFormat="false" ht="15.75" hidden="false" customHeight="false" outlineLevel="0" collapsed="false">
      <c r="A43" s="3" t="s">
        <v>1282</v>
      </c>
      <c r="B43" s="3" t="s">
        <v>1262</v>
      </c>
    </row>
    <row r="44" customFormat="false" ht="15.75" hidden="false" customHeight="false" outlineLevel="0" collapsed="false">
      <c r="A44" s="4"/>
      <c r="B44" s="3"/>
      <c r="C44" s="3"/>
    </row>
    <row r="45" customFormat="false" ht="15.75" hidden="false" customHeight="false" outlineLevel="0" collapsed="false">
      <c r="A45" s="3" t="s">
        <v>690</v>
      </c>
      <c r="B45" s="3" t="s">
        <v>442</v>
      </c>
      <c r="C45" s="3" t="s">
        <v>442</v>
      </c>
    </row>
    <row r="46" customFormat="false" ht="15.75" hidden="false" customHeight="false" outlineLevel="0" collapsed="false">
      <c r="A46" s="3" t="s">
        <v>690</v>
      </c>
      <c r="C46" s="3" t="s">
        <v>1209</v>
      </c>
    </row>
    <row r="47" customFormat="false" ht="15.75" hidden="false" customHeight="false" outlineLevel="0" collapsed="false">
      <c r="A47" s="3" t="s">
        <v>690</v>
      </c>
      <c r="B47" s="3" t="s">
        <v>1266</v>
      </c>
      <c r="C47" s="3" t="s">
        <v>1266</v>
      </c>
    </row>
    <row r="48" customFormat="false" ht="15.75" hidden="false" customHeight="false" outlineLevel="0" collapsed="false">
      <c r="A48" s="3" t="s">
        <v>690</v>
      </c>
      <c r="B48" s="3" t="s">
        <v>1269</v>
      </c>
      <c r="C48" s="3" t="s">
        <v>1269</v>
      </c>
    </row>
    <row r="49" customFormat="false" ht="15.75" hidden="false" customHeight="false" outlineLevel="0" collapsed="false">
      <c r="A49" s="3" t="s">
        <v>690</v>
      </c>
      <c r="B49" s="3" t="s">
        <v>1249</v>
      </c>
      <c r="C49" s="3" t="s">
        <v>1249</v>
      </c>
    </row>
    <row r="50" customFormat="false" ht="15.75" hidden="false" customHeight="false" outlineLevel="0" collapsed="false">
      <c r="A50" s="3" t="s">
        <v>690</v>
      </c>
      <c r="B50" s="3"/>
      <c r="C50" s="3" t="s">
        <v>1230</v>
      </c>
    </row>
    <row r="51" customFormat="false" ht="15.75" hidden="false" customHeight="false" outlineLevel="0" collapsed="false">
      <c r="A51" s="3" t="s">
        <v>305</v>
      </c>
      <c r="B51" s="3" t="s">
        <v>1263</v>
      </c>
      <c r="C51" s="3" t="s">
        <v>1263</v>
      </c>
    </row>
    <row r="52" customFormat="false" ht="15.75" hidden="false" customHeight="false" outlineLevel="0" collapsed="false">
      <c r="A52" s="4"/>
      <c r="B52" s="3"/>
      <c r="C52" s="3"/>
    </row>
    <row r="53" customFormat="false" ht="15.75" hidden="false" customHeight="false" outlineLevel="0" collapsed="false">
      <c r="A53" s="4"/>
      <c r="B53" s="3"/>
      <c r="C53" s="3"/>
    </row>
    <row r="54" customFormat="false" ht="15.75" hidden="false" customHeight="false" outlineLevel="0" collapsed="false">
      <c r="A54" s="4"/>
      <c r="B54" s="3"/>
      <c r="C54" s="3"/>
    </row>
    <row r="55" customFormat="false" ht="15.75" hidden="false" customHeight="false" outlineLevel="0" collapsed="false">
      <c r="A55" s="4"/>
      <c r="B55" s="3"/>
      <c r="C55" s="3"/>
    </row>
    <row r="56" customFormat="false" ht="15.75" hidden="false" customHeight="false" outlineLevel="0" collapsed="false">
      <c r="A56" s="3" t="s">
        <v>713</v>
      </c>
      <c r="B56" s="3" t="s">
        <v>1208</v>
      </c>
      <c r="C56" s="3"/>
    </row>
    <row r="57" customFormat="false" ht="15.75" hidden="false" customHeight="false" outlineLevel="0" collapsed="false">
      <c r="A57" s="3" t="s">
        <v>713</v>
      </c>
      <c r="B57" s="3" t="s">
        <v>1242</v>
      </c>
      <c r="C57" s="3"/>
    </row>
    <row r="58" customFormat="false" ht="15.75" hidden="false" customHeight="false" outlineLevel="0" collapsed="false">
      <c r="A58" s="3" t="s">
        <v>713</v>
      </c>
      <c r="B58" s="3" t="s">
        <v>1245</v>
      </c>
      <c r="C58" s="3"/>
    </row>
    <row r="59" customFormat="false" ht="15.75" hidden="false" customHeight="false" outlineLevel="0" collapsed="false">
      <c r="A59" s="3" t="s">
        <v>713</v>
      </c>
      <c r="B59" s="3" t="s">
        <v>1248</v>
      </c>
      <c r="C59" s="3"/>
    </row>
    <row r="60" customFormat="false" ht="15.75" hidden="false" customHeight="false" outlineLevel="0" collapsed="false">
      <c r="A60" s="3" t="s">
        <v>713</v>
      </c>
      <c r="B60" s="3" t="s">
        <v>1251</v>
      </c>
    </row>
    <row r="61" customFormat="false" ht="15.75" hidden="false" customHeight="false" outlineLevel="0" collapsed="false">
      <c r="A61" s="3" t="s">
        <v>713</v>
      </c>
      <c r="B61" s="3" t="s">
        <v>1254</v>
      </c>
    </row>
    <row r="62" customFormat="false" ht="15.75" hidden="false" customHeight="false" outlineLevel="0" collapsed="false">
      <c r="A62" s="3" t="s">
        <v>713</v>
      </c>
      <c r="B62" s="3" t="s">
        <v>1255</v>
      </c>
      <c r="C62" s="3"/>
    </row>
    <row r="63" customFormat="false" ht="15.75" hidden="false" customHeight="false" outlineLevel="0" collapsed="false">
      <c r="A63" s="3" t="s">
        <v>713</v>
      </c>
      <c r="B63" s="3" t="s">
        <v>1257</v>
      </c>
      <c r="C63" s="3"/>
    </row>
    <row r="64" customFormat="false" ht="15.75" hidden="false" customHeight="false" outlineLevel="0" collapsed="false">
      <c r="A64" s="3" t="s">
        <v>713</v>
      </c>
      <c r="B64" s="3" t="s">
        <v>1260</v>
      </c>
      <c r="C64" s="3"/>
    </row>
    <row r="65" customFormat="false" ht="15.75" hidden="false" customHeight="false" outlineLevel="0" collapsed="false">
      <c r="A65" s="3" t="s">
        <v>713</v>
      </c>
      <c r="B65" s="3" t="s">
        <v>1270</v>
      </c>
      <c r="C65" s="3"/>
    </row>
    <row r="66" customFormat="false" ht="15.75" hidden="false" customHeight="false" outlineLevel="0" collapsed="false">
      <c r="A66" s="3" t="s">
        <v>713</v>
      </c>
      <c r="B66" s="3" t="s">
        <v>1214</v>
      </c>
      <c r="C66" s="3"/>
    </row>
    <row r="67" customFormat="false" ht="15.75" hidden="false" customHeight="false" outlineLevel="0" collapsed="false">
      <c r="A67" s="3" t="s">
        <v>713</v>
      </c>
      <c r="B67" s="3" t="s">
        <v>1239</v>
      </c>
      <c r="C67" s="3"/>
    </row>
    <row r="68" customFormat="false" ht="15.75" hidden="false" customHeight="false" outlineLevel="0" collapsed="false">
      <c r="A68" s="3" t="s">
        <v>713</v>
      </c>
      <c r="C68" s="3" t="s">
        <v>1225</v>
      </c>
    </row>
    <row r="69" customFormat="false" ht="15.75" hidden="false" customHeight="false" outlineLevel="0" collapsed="false">
      <c r="A69" s="4"/>
      <c r="C69" s="3"/>
    </row>
    <row r="70" customFormat="false" ht="15.75" hidden="false" customHeight="false" outlineLevel="0" collapsed="false">
      <c r="A70" s="3" t="s">
        <v>710</v>
      </c>
      <c r="B70" s="3" t="s">
        <v>1222</v>
      </c>
      <c r="C70" s="3" t="s">
        <v>1222</v>
      </c>
    </row>
    <row r="71" customFormat="false" ht="15.75" hidden="false" customHeight="false" outlineLevel="0" collapsed="false">
      <c r="A71" s="3" t="s">
        <v>710</v>
      </c>
      <c r="B71" s="3" t="s">
        <v>1224</v>
      </c>
      <c r="C71" s="3" t="s">
        <v>1220</v>
      </c>
    </row>
    <row r="72" customFormat="false" ht="15.75" hidden="false" customHeight="false" outlineLevel="0" collapsed="false">
      <c r="A72" s="3" t="s">
        <v>710</v>
      </c>
      <c r="B72" s="3" t="s">
        <v>1226</v>
      </c>
      <c r="C72" s="3" t="s">
        <v>1220</v>
      </c>
    </row>
    <row r="73" customFormat="false" ht="15.75" hidden="false" customHeight="false" outlineLevel="0" collapsed="false">
      <c r="A73" s="3" t="s">
        <v>710</v>
      </c>
      <c r="B73" s="3" t="s">
        <v>1227</v>
      </c>
      <c r="C73" s="3" t="s">
        <v>1220</v>
      </c>
    </row>
    <row r="74" customFormat="false" ht="15.75" hidden="false" customHeight="false" outlineLevel="0" collapsed="false">
      <c r="A74" s="3" t="s">
        <v>710</v>
      </c>
      <c r="B74" s="3" t="s">
        <v>1222</v>
      </c>
      <c r="C74" s="3" t="s">
        <v>1220</v>
      </c>
    </row>
    <row r="75" customFormat="false" ht="15.75" hidden="false" customHeight="false" outlineLevel="0" collapsed="false">
      <c r="A75" s="3" t="s">
        <v>710</v>
      </c>
      <c r="B75" s="3" t="s">
        <v>1229</v>
      </c>
      <c r="C75" s="3" t="s">
        <v>1220</v>
      </c>
    </row>
    <row r="76" customFormat="false" ht="15.75" hidden="false" customHeight="false" outlineLevel="0" collapsed="false">
      <c r="A76" s="3" t="s">
        <v>710</v>
      </c>
      <c r="B76" s="3" t="s">
        <v>1231</v>
      </c>
      <c r="C76" s="3" t="s">
        <v>1220</v>
      </c>
    </row>
    <row r="77" customFormat="false" ht="15.75" hidden="false" customHeight="false" outlineLevel="0" collapsed="false">
      <c r="A77" s="3" t="s">
        <v>710</v>
      </c>
      <c r="B77" s="3" t="s">
        <v>1233</v>
      </c>
      <c r="C77" s="3" t="s">
        <v>1220</v>
      </c>
    </row>
    <row r="78" customFormat="false" ht="15.75" hidden="false" customHeight="false" outlineLevel="0" collapsed="false">
      <c r="A78" s="3" t="s">
        <v>710</v>
      </c>
      <c r="B78" s="3" t="s">
        <v>1220</v>
      </c>
      <c r="C78" s="3" t="s">
        <v>1223</v>
      </c>
    </row>
    <row r="79" customFormat="false" ht="15.75" hidden="false" customHeight="false" outlineLevel="0" collapsed="false">
      <c r="A79" s="4"/>
      <c r="B79" s="3"/>
      <c r="C79" s="3"/>
    </row>
    <row r="80" customFormat="false" ht="15.75" hidden="false" customHeight="false" outlineLevel="0" collapsed="false">
      <c r="A80" s="4"/>
      <c r="B80" s="3"/>
      <c r="C80" s="3"/>
    </row>
    <row r="81" customFormat="false" ht="15.75" hidden="false" customHeight="false" outlineLevel="0" collapsed="false">
      <c r="A81" s="3" t="s">
        <v>1283</v>
      </c>
      <c r="B81" s="3"/>
      <c r="C81" s="3"/>
    </row>
    <row r="82" customFormat="false" ht="15.75" hidden="false" customHeight="false" outlineLevel="0" collapsed="false">
      <c r="A82" s="4"/>
      <c r="B82" s="3"/>
      <c r="C82" s="3"/>
    </row>
    <row r="83" customFormat="false" ht="15.75" hidden="false" customHeight="false" outlineLevel="0" collapsed="false">
      <c r="A83" s="3" t="s">
        <v>309</v>
      </c>
      <c r="B83" s="3" t="s">
        <v>265</v>
      </c>
      <c r="C83" s="3"/>
    </row>
    <row r="84" customFormat="false" ht="15.75" hidden="false" customHeight="false" outlineLevel="0" collapsed="false">
      <c r="A84" s="3" t="s">
        <v>319</v>
      </c>
      <c r="B84" s="3" t="s">
        <v>1264</v>
      </c>
      <c r="C84" s="3"/>
    </row>
    <row r="85" customFormat="false" ht="15.75" hidden="false" customHeight="false" outlineLevel="0" collapsed="false">
      <c r="A85" s="3" t="s">
        <v>316</v>
      </c>
      <c r="B85" s="3" t="s">
        <v>1284</v>
      </c>
      <c r="C85" s="3" t="s">
        <v>1265</v>
      </c>
    </row>
    <row r="86" customFormat="false" ht="15.75" hidden="false" customHeight="false" outlineLevel="0" collapsed="false">
      <c r="A86" s="3" t="s">
        <v>293</v>
      </c>
      <c r="B86" s="3" t="s">
        <v>449</v>
      </c>
      <c r="C86" s="3" t="s">
        <v>449</v>
      </c>
    </row>
    <row r="87" customFormat="false" ht="15.75" hidden="false" customHeight="false" outlineLevel="0" collapsed="false">
      <c r="A87" s="3" t="s">
        <v>293</v>
      </c>
      <c r="B87" s="3" t="s">
        <v>1228</v>
      </c>
      <c r="C87" s="3" t="s">
        <v>1228</v>
      </c>
    </row>
    <row r="88" customFormat="false" ht="15.75" hidden="false" customHeight="false" outlineLevel="0" collapsed="false">
      <c r="A88" s="4"/>
    </row>
    <row r="89" customFormat="false" ht="15.75" hidden="false" customHeight="false" outlineLevel="0" collapsed="false">
      <c r="A89" s="3" t="s">
        <v>286</v>
      </c>
      <c r="C89" s="3" t="s">
        <v>164</v>
      </c>
    </row>
    <row r="90" customFormat="false" ht="15.75" hidden="false" customHeight="false" outlineLevel="0" collapsed="false">
      <c r="A90" s="3" t="s">
        <v>285</v>
      </c>
      <c r="B90" s="3" t="s">
        <v>168</v>
      </c>
      <c r="C90" s="3" t="s">
        <v>168</v>
      </c>
    </row>
    <row r="91" customFormat="false" ht="15.75" hidden="false" customHeight="false" outlineLevel="0" collapsed="false">
      <c r="A91" s="3" t="s">
        <v>285</v>
      </c>
      <c r="B91" s="3" t="s">
        <v>170</v>
      </c>
      <c r="C91" s="3" t="s">
        <v>170</v>
      </c>
    </row>
    <row r="92" customFormat="false" ht="15.75" hidden="false" customHeight="false" outlineLevel="0" collapsed="false">
      <c r="A92" s="3" t="s">
        <v>312</v>
      </c>
      <c r="B92" s="3" t="s">
        <v>269</v>
      </c>
      <c r="C92" s="3" t="s">
        <v>269</v>
      </c>
    </row>
    <row r="93" customFormat="false" ht="15.75" hidden="false" customHeight="false" outlineLevel="0" collapsed="false">
      <c r="A93" s="3" t="s">
        <v>312</v>
      </c>
      <c r="B93" s="3" t="s">
        <v>271</v>
      </c>
    </row>
    <row r="94" customFormat="false" ht="15.75" hidden="false" customHeight="false" outlineLevel="0" collapsed="false">
      <c r="A94" s="4"/>
      <c r="B94" s="3"/>
      <c r="C94" s="3"/>
    </row>
    <row r="95" customFormat="false" ht="15.75" hidden="false" customHeight="false" outlineLevel="0" collapsed="false">
      <c r="A95" s="4"/>
      <c r="B95" s="3"/>
      <c r="C95" s="3"/>
    </row>
    <row r="96" customFormat="false" ht="15.75" hidden="false" customHeight="false" outlineLevel="0" collapsed="false">
      <c r="A96" s="4"/>
      <c r="B96" s="3"/>
      <c r="C96" s="3"/>
    </row>
    <row r="97" customFormat="false" ht="15.75" hidden="false" customHeight="false" outlineLevel="0" collapsed="false">
      <c r="A97" s="4"/>
      <c r="B97" s="3"/>
      <c r="C97" s="3"/>
    </row>
    <row r="98" customFormat="false" ht="15.75" hidden="false" customHeight="false" outlineLevel="0" collapsed="false">
      <c r="A98" s="4"/>
      <c r="B98" s="3"/>
      <c r="C98" s="3"/>
    </row>
    <row r="99" customFormat="false" ht="15.75" hidden="false" customHeight="false" outlineLevel="0" collapsed="false">
      <c r="A99" s="4"/>
      <c r="B99" s="3"/>
      <c r="C99" s="3"/>
    </row>
    <row r="100" customFormat="false" ht="15.75" hidden="false" customHeight="false" outlineLevel="0" collapsed="false">
      <c r="A100" s="4"/>
      <c r="B100" s="3"/>
      <c r="C100" s="3"/>
    </row>
    <row r="101" customFormat="false" ht="15.75" hidden="false" customHeight="false" outlineLevel="0" collapsed="false">
      <c r="A101" s="4"/>
      <c r="B101" s="3"/>
      <c r="C101" s="3"/>
    </row>
    <row r="102" customFormat="false" ht="15.75" hidden="false" customHeight="false" outlineLevel="0" collapsed="false">
      <c r="A102" s="4"/>
      <c r="B102" s="3"/>
      <c r="C102" s="3"/>
    </row>
    <row r="103" customFormat="false" ht="15.75" hidden="false" customHeight="false" outlineLevel="0" collapsed="false">
      <c r="A103" s="4"/>
      <c r="B103" s="3"/>
      <c r="C103" s="3"/>
    </row>
    <row r="104" customFormat="false" ht="15.75" hidden="false" customHeight="false" outlineLevel="0" collapsed="false">
      <c r="A104" s="4"/>
      <c r="B104" s="3"/>
      <c r="C104" s="3"/>
    </row>
    <row r="105" customFormat="false" ht="15.75" hidden="false" customHeight="false" outlineLevel="0" collapsed="false">
      <c r="A105" s="4"/>
      <c r="B105" s="3"/>
      <c r="C105" s="3"/>
    </row>
    <row r="106" customFormat="false" ht="15.75" hidden="false" customHeight="false" outlineLevel="0" collapsed="false">
      <c r="A106" s="4"/>
      <c r="B106" s="3"/>
      <c r="C106" s="3"/>
    </row>
    <row r="107" customFormat="false" ht="15.75" hidden="false" customHeight="false" outlineLevel="0" collapsed="false">
      <c r="A107" s="4"/>
      <c r="B107" s="3"/>
      <c r="C107" s="3"/>
    </row>
    <row r="108" customFormat="false" ht="15.75" hidden="false" customHeight="false" outlineLevel="0" collapsed="false">
      <c r="A108" s="4"/>
      <c r="B108" s="3"/>
      <c r="C108" s="3"/>
    </row>
    <row r="109" customFormat="false" ht="15.75" hidden="false" customHeight="false" outlineLevel="0" collapsed="false">
      <c r="A109" s="4"/>
    </row>
    <row r="110" customFormat="false" ht="15.75" hidden="false" customHeight="false" outlineLevel="0" collapsed="false">
      <c r="A110" s="4"/>
    </row>
    <row r="111" customFormat="false" ht="15.75" hidden="false" customHeight="false" outlineLevel="0" collapsed="false">
      <c r="A111" s="4"/>
    </row>
    <row r="112" customFormat="false" ht="15.75" hidden="false" customHeight="false" outlineLevel="0" collapsed="false">
      <c r="A112" s="4"/>
      <c r="B112" s="3"/>
      <c r="C112" s="3"/>
    </row>
    <row r="113" customFormat="false" ht="15.75" hidden="false" customHeight="false" outlineLevel="0" collapsed="false">
      <c r="A113" s="4"/>
    </row>
    <row r="114" customFormat="false" ht="15.75" hidden="false" customHeight="false" outlineLevel="0" collapsed="false">
      <c r="A114" s="4"/>
    </row>
    <row r="115" customFormat="false" ht="15.75" hidden="false" customHeight="false" outlineLevel="0" collapsed="false">
      <c r="A115" s="4"/>
    </row>
    <row r="116" customFormat="false" ht="15.75" hidden="false" customHeight="false" outlineLevel="0" collapsed="false">
      <c r="A116" s="4"/>
    </row>
    <row r="117" customFormat="false" ht="15.75" hidden="false" customHeight="false" outlineLevel="0" collapsed="false">
      <c r="A117" s="4"/>
    </row>
    <row r="118" customFormat="false" ht="15.75" hidden="false" customHeight="false" outlineLevel="0" collapsed="false">
      <c r="A118" s="4"/>
    </row>
    <row r="119" customFormat="false" ht="15.75" hidden="false" customHeight="false" outlineLevel="0" collapsed="false">
      <c r="A119" s="4"/>
      <c r="C119" s="3"/>
    </row>
    <row r="120" customFormat="false" ht="15.75" hidden="false" customHeight="false" outlineLevel="0" collapsed="false">
      <c r="A120" s="4"/>
      <c r="C120" s="3"/>
    </row>
    <row r="121" customFormat="false" ht="15.75" hidden="false" customHeight="false" outlineLevel="0" collapsed="false">
      <c r="A121" s="4"/>
    </row>
    <row r="122" customFormat="false" ht="15.75" hidden="false" customHeight="false" outlineLevel="0" collapsed="false">
      <c r="A122" s="4"/>
    </row>
    <row r="123" customFormat="false" ht="15.75" hidden="false" customHeight="false" outlineLevel="0" collapsed="false">
      <c r="A123" s="4"/>
    </row>
    <row r="124" customFormat="false" ht="15.75" hidden="false" customHeight="false" outlineLevel="0" collapsed="false">
      <c r="A124" s="4"/>
    </row>
    <row r="125" customFormat="false" ht="15.75" hidden="false" customHeight="false" outlineLevel="0" collapsed="false">
      <c r="A125" s="4"/>
    </row>
    <row r="126" customFormat="false" ht="15.75" hidden="false" customHeight="false" outlineLevel="0" collapsed="false">
      <c r="A126" s="4"/>
    </row>
    <row r="127" customFormat="false" ht="15.75" hidden="false" customHeight="false" outlineLevel="0" collapsed="false">
      <c r="A127" s="4"/>
    </row>
    <row r="128" customFormat="false" ht="15.75" hidden="false" customHeight="false" outlineLevel="0" collapsed="false">
      <c r="A128" s="4"/>
      <c r="C128" s="3"/>
    </row>
    <row r="129" customFormat="false" ht="15.75" hidden="false" customHeight="false" outlineLevel="0" collapsed="false">
      <c r="A129" s="4"/>
      <c r="C129" s="3"/>
    </row>
    <row r="130" customFormat="false" ht="15.75" hidden="false" customHeight="false" outlineLevel="0" collapsed="false">
      <c r="A130" s="4"/>
      <c r="C130" s="3"/>
    </row>
    <row r="131" customFormat="false" ht="15.75" hidden="false" customHeight="false" outlineLevel="0" collapsed="false">
      <c r="A131" s="4"/>
      <c r="C131" s="3"/>
    </row>
    <row r="132" customFormat="false" ht="15.75" hidden="false" customHeight="false" outlineLevel="0" collapsed="false">
      <c r="A132" s="4"/>
      <c r="C132" s="3"/>
    </row>
    <row r="133" customFormat="false" ht="15.75" hidden="false" customHeight="false" outlineLevel="0" collapsed="false">
      <c r="A133" s="4"/>
      <c r="C133" s="3"/>
    </row>
    <row r="134" customFormat="false" ht="15.75" hidden="false" customHeight="false" outlineLevel="0" collapsed="false">
      <c r="A134" s="4"/>
    </row>
    <row r="135" customFormat="false" ht="15.75" hidden="false" customHeight="false" outlineLevel="0" collapsed="false">
      <c r="A135" s="4"/>
      <c r="B135" s="3"/>
    </row>
    <row r="136" customFormat="false" ht="15.75" hidden="false" customHeight="false" outlineLevel="0" collapsed="false">
      <c r="A136" s="4"/>
    </row>
    <row r="137" customFormat="false" ht="15.75" hidden="false" customHeight="false" outlineLevel="0" collapsed="false">
      <c r="A137" s="4"/>
      <c r="B137" s="3"/>
    </row>
    <row r="138" customFormat="false" ht="15.75" hidden="false" customHeight="false" outlineLevel="0" collapsed="false">
      <c r="A138" s="4"/>
      <c r="B138" s="3"/>
    </row>
    <row r="139" customFormat="false" ht="15.75" hidden="false" customHeight="false" outlineLevel="0" collapsed="false">
      <c r="A139" s="4"/>
      <c r="C139" s="3"/>
    </row>
    <row r="140" customFormat="false" ht="15.75" hidden="false" customHeight="false" outlineLevel="0" collapsed="false">
      <c r="A140" s="4"/>
      <c r="C140" s="3"/>
    </row>
    <row r="141" customFormat="false" ht="15.75" hidden="false" customHeight="false" outlineLevel="0" collapsed="false">
      <c r="A141" s="4"/>
      <c r="C141" s="3"/>
    </row>
    <row r="142" customFormat="false" ht="15.75" hidden="false" customHeight="false" outlineLevel="0" collapsed="false">
      <c r="A142" s="4"/>
      <c r="C142" s="3"/>
    </row>
    <row r="143" customFormat="false" ht="15.75" hidden="false" customHeight="false" outlineLevel="0" collapsed="false">
      <c r="A143" s="4"/>
      <c r="C143" s="3"/>
    </row>
    <row r="144" customFormat="false" ht="15.75" hidden="false" customHeight="false" outlineLevel="0" collapsed="false">
      <c r="A144" s="4"/>
      <c r="C144" s="3"/>
    </row>
    <row r="145" customFormat="false" ht="15.75" hidden="false" customHeight="false" outlineLevel="0" collapsed="false">
      <c r="A145" s="4"/>
      <c r="C145" s="3"/>
    </row>
    <row r="146" customFormat="false" ht="15.75" hidden="false" customHeight="false" outlineLevel="0" collapsed="false">
      <c r="A146" s="4"/>
    </row>
    <row r="147" customFormat="false" ht="15.75" hidden="false" customHeight="false" outlineLevel="0" collapsed="false">
      <c r="A147" s="4"/>
      <c r="C147" s="3"/>
    </row>
    <row r="148" customFormat="false" ht="15.75" hidden="false" customHeight="false" outlineLevel="0" collapsed="false">
      <c r="A148" s="4"/>
      <c r="C148" s="3"/>
    </row>
    <row r="149" customFormat="false" ht="15.75" hidden="false" customHeight="false" outlineLevel="0" collapsed="false">
      <c r="A149" s="4"/>
    </row>
    <row r="150" customFormat="false" ht="15.75" hidden="false" customHeight="false" outlineLevel="0" collapsed="false">
      <c r="A150" s="4"/>
    </row>
    <row r="151" customFormat="false" ht="15.75" hidden="false" customHeight="false" outlineLevel="0" collapsed="false">
      <c r="A151" s="4"/>
      <c r="C151" s="3"/>
    </row>
    <row r="152" customFormat="false" ht="15.75" hidden="false" customHeight="false" outlineLevel="0" collapsed="false">
      <c r="A152" s="4"/>
      <c r="C152" s="3"/>
    </row>
    <row r="153" customFormat="false" ht="15.75" hidden="false" customHeight="false" outlineLevel="0" collapsed="false">
      <c r="A153" s="4"/>
      <c r="C153" s="3"/>
    </row>
    <row r="154" customFormat="false" ht="15.75" hidden="false" customHeight="false" outlineLevel="0" collapsed="false">
      <c r="A154" s="4"/>
      <c r="B154" s="3"/>
      <c r="C154" s="3"/>
    </row>
    <row r="155" customFormat="false" ht="15.75" hidden="false" customHeight="false" outlineLevel="0" collapsed="false">
      <c r="A155" s="4"/>
      <c r="B155" s="3"/>
      <c r="C155" s="3"/>
    </row>
    <row r="156" customFormat="false" ht="15.75" hidden="false" customHeight="false" outlineLevel="0" collapsed="false">
      <c r="A156" s="4"/>
    </row>
    <row r="157" customFormat="false" ht="15.75" hidden="false" customHeight="false" outlineLevel="0" collapsed="false">
      <c r="A157" s="4"/>
    </row>
    <row r="158" customFormat="false" ht="15.75" hidden="false" customHeight="false" outlineLevel="0" collapsed="false">
      <c r="A158" s="4"/>
    </row>
    <row r="159" customFormat="false" ht="15.75" hidden="false" customHeight="false" outlineLevel="0" collapsed="false">
      <c r="A159" s="4"/>
    </row>
    <row r="160" customFormat="false" ht="15.75" hidden="false" customHeight="false" outlineLevel="0" collapsed="false">
      <c r="A160" s="4"/>
    </row>
    <row r="161" customFormat="false" ht="15.75" hidden="false" customHeight="false" outlineLevel="0" collapsed="false">
      <c r="A161" s="4"/>
    </row>
    <row r="162" customFormat="false" ht="15.75" hidden="false" customHeight="false" outlineLevel="0" collapsed="false">
      <c r="A162" s="4"/>
    </row>
    <row r="163" customFormat="false" ht="15.75" hidden="false" customHeight="false" outlineLevel="0" collapsed="false">
      <c r="A163" s="4"/>
    </row>
    <row r="164" customFormat="false" ht="15.75" hidden="false" customHeight="false" outlineLevel="0" collapsed="false">
      <c r="A164" s="4"/>
    </row>
    <row r="167" customFormat="false" ht="15.75" hidden="false" customHeight="false" outlineLevel="0" collapsed="false">
      <c r="A167" s="4"/>
    </row>
    <row r="168" customFormat="false" ht="15.75" hidden="false" customHeight="false" outlineLevel="0" collapsed="false">
      <c r="A168" s="4"/>
    </row>
    <row r="169" customFormat="false" ht="15.75" hidden="false" customHeight="false" outlineLevel="0" collapsed="false">
      <c r="A169" s="4"/>
    </row>
    <row r="170" customFormat="false" ht="15.75" hidden="false" customHeight="false" outlineLevel="0" collapsed="false">
      <c r="A170" s="4"/>
    </row>
    <row r="171" customFormat="false" ht="15.75" hidden="false" customHeight="false" outlineLevel="0" collapsed="false">
      <c r="A171" s="4"/>
    </row>
    <row r="172" customFormat="false" ht="15.75" hidden="false" customHeight="false" outlineLevel="0" collapsed="false">
      <c r="A172" s="4"/>
      <c r="B172" s="3"/>
    </row>
    <row r="173" customFormat="false" ht="15.75" hidden="false" customHeight="false" outlineLevel="0" collapsed="false">
      <c r="A173" s="4"/>
    </row>
    <row r="174" customFormat="false" ht="15.75" hidden="false" customHeight="false" outlineLevel="0" collapsed="false">
      <c r="A174" s="4"/>
    </row>
    <row r="175" customFormat="false" ht="15.75" hidden="false" customHeight="false" outlineLevel="0" collapsed="false">
      <c r="A175" s="4"/>
      <c r="B175" s="3"/>
    </row>
    <row r="176" customFormat="false" ht="15.75" hidden="false" customHeight="false" outlineLevel="0" collapsed="false">
      <c r="A176" s="4"/>
      <c r="B176" s="3"/>
      <c r="C176" s="3"/>
    </row>
    <row r="177" customFormat="false" ht="15.75" hidden="false" customHeight="false" outlineLevel="0" collapsed="false">
      <c r="A177" s="4"/>
      <c r="B177" s="3"/>
      <c r="C177" s="3"/>
    </row>
    <row r="178" customFormat="false" ht="15.75" hidden="false" customHeight="false" outlineLevel="0" collapsed="false">
      <c r="A178" s="4"/>
      <c r="B178" s="3"/>
    </row>
    <row r="179" customFormat="false" ht="15.75" hidden="false" customHeight="false" outlineLevel="0" collapsed="false">
      <c r="A179" s="4"/>
      <c r="B179" s="3"/>
      <c r="C179" s="3"/>
    </row>
    <row r="180" customFormat="false" ht="15.75" hidden="false" customHeight="false" outlineLevel="0" collapsed="false">
      <c r="A180" s="4"/>
      <c r="B180" s="3"/>
      <c r="C180" s="3"/>
    </row>
    <row r="181" customFormat="false" ht="15.75" hidden="false" customHeight="false" outlineLevel="0" collapsed="false">
      <c r="A181" s="4"/>
      <c r="B181" s="3"/>
      <c r="C181" s="3"/>
    </row>
    <row r="182" customFormat="false" ht="15.75" hidden="false" customHeight="false" outlineLevel="0" collapsed="false">
      <c r="A182" s="4"/>
      <c r="B182" s="3"/>
      <c r="C182" s="3"/>
    </row>
    <row r="183" customFormat="false" ht="15.75" hidden="false" customHeight="false" outlineLevel="0" collapsed="false">
      <c r="A183" s="4"/>
      <c r="B183" s="3"/>
      <c r="C183" s="3"/>
    </row>
    <row r="184" customFormat="false" ht="15.75" hidden="false" customHeight="false" outlineLevel="0" collapsed="false">
      <c r="A184" s="4"/>
      <c r="B184" s="3"/>
    </row>
    <row r="185" customFormat="false" ht="15.75" hidden="false" customHeight="false" outlineLevel="0" collapsed="false">
      <c r="A185" s="3"/>
      <c r="B185" s="3"/>
    </row>
    <row r="186" customFormat="false" ht="15.75" hidden="false" customHeight="false" outlineLevel="0" collapsed="false">
      <c r="A186" s="3"/>
      <c r="B186" s="3"/>
    </row>
    <row r="187" customFormat="false" ht="15.75" hidden="false" customHeight="false" outlineLevel="0" collapsed="false">
      <c r="A187" s="4"/>
    </row>
    <row r="188" customFormat="false" ht="15.75" hidden="false" customHeight="false" outlineLevel="0" collapsed="false">
      <c r="A188" s="4"/>
      <c r="B188" s="3"/>
    </row>
    <row r="189" customFormat="false" ht="15.75" hidden="false" customHeight="false" outlineLevel="0" collapsed="false">
      <c r="A189" s="4"/>
      <c r="B189" s="3"/>
      <c r="C189" s="3"/>
    </row>
    <row r="190" customFormat="false" ht="15.75" hidden="false" customHeight="false" outlineLevel="0" collapsed="false">
      <c r="A190" s="4"/>
      <c r="B190" s="3"/>
      <c r="C190" s="3"/>
    </row>
    <row r="191" customFormat="false" ht="15.75" hidden="false" customHeight="false" outlineLevel="0" collapsed="false">
      <c r="A191" s="4"/>
    </row>
    <row r="192" customFormat="false" ht="15.75" hidden="false" customHeight="false" outlineLevel="0" collapsed="false">
      <c r="A192" s="4"/>
      <c r="B192" s="3"/>
    </row>
    <row r="193" customFormat="false" ht="15.75" hidden="false" customHeight="false" outlineLevel="0" collapsed="false">
      <c r="A193" s="4"/>
    </row>
    <row r="194" customFormat="false" ht="15.75" hidden="false" customHeight="false" outlineLevel="0" collapsed="false">
      <c r="A194" s="4"/>
    </row>
    <row r="195" customFormat="false" ht="15.75" hidden="false" customHeight="false" outlineLevel="0" collapsed="false">
      <c r="A195" s="4"/>
      <c r="C195" s="3"/>
    </row>
    <row r="196" customFormat="false" ht="15.75" hidden="false" customHeight="false" outlineLevel="0" collapsed="false">
      <c r="A196" s="4"/>
      <c r="B196" s="3"/>
    </row>
    <row r="197" customFormat="false" ht="15.75" hidden="false" customHeight="false" outlineLevel="0" collapsed="false">
      <c r="A197" s="3"/>
      <c r="C197" s="3"/>
    </row>
    <row r="198" customFormat="false" ht="15.75" hidden="false" customHeight="false" outlineLevel="0" collapsed="false">
      <c r="A198" s="3"/>
      <c r="B198" s="3"/>
      <c r="C198" s="3"/>
    </row>
    <row r="199" customFormat="false" ht="15.75" hidden="false" customHeight="false" outlineLevel="0" collapsed="false">
      <c r="A199" s="3"/>
      <c r="B199" s="3"/>
      <c r="C199" s="3"/>
    </row>
    <row r="200" customFormat="false" ht="15.75" hidden="false" customHeight="false" outlineLevel="0" collapsed="false">
      <c r="A200" s="3"/>
      <c r="B200" s="3"/>
      <c r="C200" s="3"/>
    </row>
    <row r="201" customFormat="false" ht="15.75" hidden="false" customHeight="false" outlineLevel="0" collapsed="false">
      <c r="A201" s="3"/>
      <c r="B201" s="3"/>
      <c r="C201" s="3"/>
    </row>
    <row r="202" customFormat="false" ht="15.75" hidden="false" customHeight="false" outlineLevel="0" collapsed="false">
      <c r="A202" s="3"/>
      <c r="B202" s="3"/>
      <c r="C202" s="3"/>
    </row>
    <row r="203" customFormat="false" ht="15.75" hidden="false" customHeight="false" outlineLevel="0" collapsed="false">
      <c r="A203" s="3"/>
      <c r="B203" s="3"/>
      <c r="C203" s="3"/>
    </row>
    <row r="204" customFormat="false" ht="15.75" hidden="false" customHeight="false" outlineLevel="0" collapsed="false">
      <c r="A204" s="3"/>
      <c r="B204" s="3"/>
      <c r="C204" s="3"/>
    </row>
    <row r="205" customFormat="false" ht="15.75" hidden="false" customHeight="false" outlineLevel="0" collapsed="false">
      <c r="A205" s="3"/>
      <c r="B205" s="3"/>
      <c r="C205" s="3"/>
    </row>
    <row r="206" customFormat="false" ht="15.75" hidden="false" customHeight="false" outlineLevel="0" collapsed="false">
      <c r="A206" s="3"/>
      <c r="B206" s="3"/>
      <c r="C206" s="3"/>
    </row>
    <row r="207" customFormat="false" ht="15.75" hidden="false" customHeight="false" outlineLevel="0" collapsed="false">
      <c r="A207" s="3"/>
      <c r="B207" s="3"/>
      <c r="C207" s="3"/>
    </row>
    <row r="208" customFormat="false" ht="15.75" hidden="false" customHeight="false" outlineLevel="0" collapsed="false">
      <c r="A208" s="3"/>
      <c r="B208" s="3"/>
      <c r="C208" s="3"/>
    </row>
    <row r="209" customFormat="false" ht="15.75" hidden="false" customHeight="false" outlineLevel="0" collapsed="false">
      <c r="A209" s="3"/>
      <c r="B209" s="3"/>
      <c r="C209" s="3"/>
    </row>
    <row r="210" customFormat="false" ht="15.75" hidden="false" customHeight="false" outlineLevel="0" collapsed="false">
      <c r="A210" s="4"/>
    </row>
    <row r="211" customFormat="false" ht="15.75" hidden="false" customHeight="false" outlineLevel="0" collapsed="false">
      <c r="A211" s="4"/>
    </row>
    <row r="212" customFormat="false" ht="15.75" hidden="false" customHeight="false" outlineLevel="0" collapsed="false">
      <c r="A212" s="4"/>
      <c r="B212" s="3"/>
    </row>
    <row r="213" customFormat="false" ht="15.75" hidden="false" customHeight="false" outlineLevel="0" collapsed="false">
      <c r="A213" s="4"/>
      <c r="B213" s="3"/>
    </row>
    <row r="214" customFormat="false" ht="15.75" hidden="false" customHeight="false" outlineLevel="0" collapsed="false">
      <c r="A214" s="4"/>
    </row>
    <row r="215" customFormat="false" ht="15.75" hidden="false" customHeight="false" outlineLevel="0" collapsed="false">
      <c r="A215" s="4"/>
      <c r="B215" s="3"/>
      <c r="C215" s="3"/>
    </row>
    <row r="216" customFormat="false" ht="15.75" hidden="false" customHeight="false" outlineLevel="0" collapsed="false">
      <c r="A216" s="4"/>
      <c r="B216" s="3"/>
      <c r="C216" s="3"/>
    </row>
    <row r="217" customFormat="false" ht="15.75" hidden="false" customHeight="false" outlineLevel="0" collapsed="false">
      <c r="A217" s="4"/>
    </row>
    <row r="218" customFormat="false" ht="15.75" hidden="false" customHeight="false" outlineLevel="0" collapsed="false">
      <c r="A218" s="4"/>
      <c r="C218" s="3"/>
    </row>
    <row r="219" customFormat="false" ht="15.75" hidden="false" customHeight="false" outlineLevel="0" collapsed="false">
      <c r="A219" s="4"/>
      <c r="B219" s="3"/>
      <c r="C219" s="3"/>
    </row>
    <row r="220" customFormat="false" ht="15.75" hidden="false" customHeight="false" outlineLevel="0" collapsed="false">
      <c r="A220" s="4"/>
      <c r="B220" s="3"/>
      <c r="C220" s="3"/>
    </row>
    <row r="221" customFormat="false" ht="15.75" hidden="false" customHeight="false" outlineLevel="0" collapsed="false">
      <c r="A221" s="4"/>
      <c r="B221" s="3"/>
      <c r="C221" s="3"/>
    </row>
    <row r="222" customFormat="false" ht="15.75" hidden="false" customHeight="false" outlineLevel="0" collapsed="false">
      <c r="A222" s="4"/>
      <c r="B222" s="3"/>
      <c r="C222" s="3"/>
    </row>
    <row r="223" customFormat="false" ht="15.75" hidden="false" customHeight="false" outlineLevel="0" collapsed="false">
      <c r="A223" s="4"/>
      <c r="B223" s="3"/>
      <c r="C223" s="3"/>
    </row>
    <row r="224" customFormat="false" ht="15.75" hidden="false" customHeight="false" outlineLevel="0" collapsed="false">
      <c r="A224" s="4"/>
      <c r="B224" s="3"/>
      <c r="C224" s="3"/>
    </row>
    <row r="225" customFormat="false" ht="15.75" hidden="false" customHeight="false" outlineLevel="0" collapsed="false">
      <c r="A225" s="4"/>
      <c r="B225" s="3"/>
      <c r="C225" s="3"/>
    </row>
    <row r="226" customFormat="false" ht="15.75" hidden="false" customHeight="false" outlineLevel="0" collapsed="false">
      <c r="A226" s="4"/>
    </row>
    <row r="227" customFormat="false" ht="15.75" hidden="false" customHeight="false" outlineLevel="0" collapsed="false">
      <c r="A227" s="4"/>
      <c r="B227" s="3"/>
      <c r="C227" s="3"/>
    </row>
    <row r="228" customFormat="false" ht="15.75" hidden="false" customHeight="false" outlineLevel="0" collapsed="false">
      <c r="A228" s="4"/>
      <c r="B228" s="3"/>
      <c r="C228" s="3"/>
    </row>
    <row r="229" customFormat="false" ht="15.75" hidden="false" customHeight="false" outlineLevel="0" collapsed="false">
      <c r="A229" s="4"/>
      <c r="B229" s="3"/>
      <c r="C229" s="3"/>
    </row>
    <row r="230" customFormat="false" ht="15.75" hidden="false" customHeight="false" outlineLevel="0" collapsed="false">
      <c r="A230" s="4"/>
      <c r="B230" s="3"/>
    </row>
    <row r="231" customFormat="false" ht="15.75" hidden="false" customHeight="false" outlineLevel="0" collapsed="false">
      <c r="A231" s="4"/>
      <c r="B231" s="3"/>
      <c r="C231" s="3"/>
    </row>
    <row r="232" customFormat="false" ht="15.75" hidden="false" customHeight="false" outlineLevel="0" collapsed="false">
      <c r="A232" s="4"/>
      <c r="B232" s="3"/>
      <c r="C232" s="3"/>
    </row>
    <row r="233" customFormat="false" ht="15.75" hidden="false" customHeight="false" outlineLevel="0" collapsed="false">
      <c r="A233" s="4"/>
      <c r="C233" s="3"/>
    </row>
    <row r="234" customFormat="false" ht="15.75" hidden="false" customHeight="false" outlineLevel="0" collapsed="false">
      <c r="A234" s="4"/>
      <c r="B234" s="3"/>
      <c r="C234" s="3"/>
    </row>
    <row r="235" customFormat="false" ht="15.75" hidden="false" customHeight="false" outlineLevel="0" collapsed="false">
      <c r="A235" s="4"/>
      <c r="B235" s="3"/>
      <c r="C235" s="3"/>
    </row>
    <row r="236" customFormat="false" ht="15.75" hidden="false" customHeight="false" outlineLevel="0" collapsed="false">
      <c r="A236" s="4"/>
      <c r="B236" s="3"/>
      <c r="C236" s="3"/>
    </row>
    <row r="237" customFormat="false" ht="15.75" hidden="false" customHeight="false" outlineLevel="0" collapsed="false">
      <c r="A237" s="4"/>
      <c r="B237" s="3"/>
      <c r="C237" s="3"/>
    </row>
    <row r="238" customFormat="false" ht="15.75" hidden="false" customHeight="false" outlineLevel="0" collapsed="false">
      <c r="A238" s="4"/>
      <c r="B238" s="3"/>
      <c r="C238" s="3"/>
    </row>
    <row r="239" customFormat="false" ht="15.75" hidden="false" customHeight="false" outlineLevel="0" collapsed="false">
      <c r="A239" s="4"/>
      <c r="B239" s="3"/>
      <c r="C239" s="3"/>
    </row>
    <row r="240" customFormat="false" ht="15.75" hidden="false" customHeight="false" outlineLevel="0" collapsed="false">
      <c r="A240" s="4"/>
      <c r="B240" s="3"/>
      <c r="C240" s="3"/>
    </row>
    <row r="241" customFormat="false" ht="15.75" hidden="false" customHeight="false" outlineLevel="0" collapsed="false">
      <c r="A241" s="4"/>
      <c r="B241" s="3"/>
      <c r="C241" s="3"/>
    </row>
    <row r="242" customFormat="false" ht="15.75" hidden="false" customHeight="false" outlineLevel="0" collapsed="false">
      <c r="A242" s="4"/>
      <c r="B242" s="3"/>
      <c r="C242" s="10"/>
    </row>
    <row r="243" customFormat="false" ht="15.75" hidden="false" customHeight="false" outlineLevel="0" collapsed="false">
      <c r="A243" s="4"/>
      <c r="B243" s="3"/>
      <c r="C243" s="3"/>
    </row>
    <row r="244" customFormat="false" ht="15.75" hidden="false" customHeight="false" outlineLevel="0" collapsed="false">
      <c r="A244" s="4"/>
      <c r="B244" s="3"/>
      <c r="C244" s="3"/>
    </row>
    <row r="245" customFormat="false" ht="15.75" hidden="false" customHeight="false" outlineLevel="0" collapsed="false">
      <c r="A245" s="4"/>
      <c r="B245" s="3"/>
      <c r="C245" s="3"/>
    </row>
    <row r="246" customFormat="false" ht="15.75" hidden="false" customHeight="false" outlineLevel="0" collapsed="false">
      <c r="A246" s="4"/>
      <c r="C246" s="3"/>
    </row>
    <row r="247" customFormat="false" ht="15.75" hidden="false" customHeight="false" outlineLevel="0" collapsed="false">
      <c r="A247" s="4"/>
      <c r="B247" s="3"/>
      <c r="C247" s="3"/>
    </row>
    <row r="248" customFormat="false" ht="15.75" hidden="false" customHeight="false" outlineLevel="0" collapsed="false">
      <c r="A248" s="4"/>
      <c r="B248" s="3"/>
      <c r="C248" s="3"/>
    </row>
    <row r="249" customFormat="false" ht="15.75" hidden="false" customHeight="false" outlineLevel="0" collapsed="false">
      <c r="A249" s="4"/>
      <c r="B249" s="3"/>
      <c r="C249" s="3"/>
    </row>
    <row r="250" customFormat="false" ht="15.75" hidden="false" customHeight="false" outlineLevel="0" collapsed="false">
      <c r="A250" s="4"/>
      <c r="B250" s="3"/>
      <c r="C250" s="3"/>
    </row>
    <row r="251" customFormat="false" ht="15.75" hidden="false" customHeight="false" outlineLevel="0" collapsed="false">
      <c r="A251" s="4"/>
      <c r="B251" s="3"/>
      <c r="C251" s="3"/>
    </row>
    <row r="252" customFormat="false" ht="15.75" hidden="false" customHeight="false" outlineLevel="0" collapsed="false">
      <c r="A252" s="4"/>
      <c r="B252" s="3"/>
      <c r="C252" s="3"/>
    </row>
    <row r="253" customFormat="false" ht="15.75" hidden="false" customHeight="false" outlineLevel="0" collapsed="false">
      <c r="A253" s="4"/>
      <c r="B253" s="3"/>
      <c r="C253" s="3"/>
    </row>
    <row r="254" customFormat="false" ht="15.75" hidden="false" customHeight="false" outlineLevel="0" collapsed="false">
      <c r="A254" s="4"/>
      <c r="B254" s="3"/>
      <c r="C254" s="3"/>
    </row>
    <row r="255" customFormat="false" ht="15.75" hidden="false" customHeight="false" outlineLevel="0" collapsed="false">
      <c r="A255" s="4"/>
      <c r="B255" s="3"/>
      <c r="C255" s="3"/>
    </row>
    <row r="256" customFormat="false" ht="15.75" hidden="false" customHeight="false" outlineLevel="0" collapsed="false">
      <c r="A256" s="4"/>
      <c r="B256" s="3"/>
      <c r="C256" s="3"/>
    </row>
    <row r="257" customFormat="false" ht="15.75" hidden="false" customHeight="false" outlineLevel="0" collapsed="false">
      <c r="A257" s="10"/>
      <c r="C257" s="10"/>
    </row>
    <row r="258" customFormat="false" ht="15.75" hidden="false" customHeight="false" outlineLevel="0" collapsed="false">
      <c r="A258" s="4"/>
      <c r="B258" s="3"/>
      <c r="C258" s="3"/>
    </row>
    <row r="259" customFormat="false" ht="15.75" hidden="false" customHeight="false" outlineLevel="0" collapsed="false">
      <c r="A259" s="4"/>
      <c r="B259" s="3"/>
      <c r="C259" s="3"/>
    </row>
    <row r="260" customFormat="false" ht="15.75" hidden="false" customHeight="false" outlineLevel="0" collapsed="false">
      <c r="A260" s="4"/>
      <c r="B260" s="3"/>
      <c r="C260" s="3"/>
    </row>
    <row r="261" customFormat="false" ht="15.75" hidden="false" customHeight="false" outlineLevel="0" collapsed="false">
      <c r="A261" s="4"/>
      <c r="B261" s="3"/>
      <c r="C261" s="3"/>
    </row>
    <row r="262" customFormat="false" ht="15.75" hidden="false" customHeight="false" outlineLevel="0" collapsed="false">
      <c r="A262" s="4"/>
      <c r="B262" s="3"/>
      <c r="C262" s="3"/>
    </row>
    <row r="263" customFormat="false" ht="15.75" hidden="false" customHeight="false" outlineLevel="0" collapsed="false">
      <c r="A263" s="4"/>
      <c r="B263" s="3"/>
      <c r="C263" s="3"/>
    </row>
    <row r="264" customFormat="false" ht="15.75" hidden="false" customHeight="false" outlineLevel="0" collapsed="false">
      <c r="A264" s="4"/>
      <c r="B264" s="3"/>
    </row>
    <row r="265" customFormat="false" ht="15.75" hidden="false" customHeight="false" outlineLevel="0" collapsed="false">
      <c r="A265" s="4"/>
      <c r="B265" s="3"/>
      <c r="C265" s="3"/>
    </row>
    <row r="266" customFormat="false" ht="15.75" hidden="false" customHeight="false" outlineLevel="0" collapsed="false">
      <c r="A266" s="4"/>
      <c r="B266" s="3"/>
      <c r="C266" s="3"/>
    </row>
    <row r="267" customFormat="false" ht="15.75" hidden="false" customHeight="false" outlineLevel="0" collapsed="false">
      <c r="A267" s="4"/>
      <c r="B267" s="3"/>
      <c r="C267" s="3"/>
    </row>
    <row r="268" customFormat="false" ht="15.75" hidden="false" customHeight="false" outlineLevel="0" collapsed="false">
      <c r="A268" s="4"/>
      <c r="B268" s="3"/>
      <c r="C268" s="3"/>
    </row>
    <row r="269" customFormat="false" ht="15.75" hidden="false" customHeight="false" outlineLevel="0" collapsed="false">
      <c r="A269" s="4"/>
      <c r="B269" s="3"/>
      <c r="C269" s="3"/>
    </row>
    <row r="270" customFormat="false" ht="15.75" hidden="false" customHeight="false" outlineLevel="0" collapsed="false">
      <c r="A270" s="4"/>
      <c r="B270" s="3"/>
      <c r="C270" s="3"/>
    </row>
    <row r="271" customFormat="false" ht="15.75" hidden="false" customHeight="false" outlineLevel="0" collapsed="false">
      <c r="A271" s="4"/>
      <c r="B271" s="3"/>
      <c r="C271" s="3"/>
    </row>
    <row r="272" customFormat="false" ht="15.75" hidden="false" customHeight="false" outlineLevel="0" collapsed="false">
      <c r="A272" s="4"/>
      <c r="B272" s="3"/>
      <c r="C272" s="3"/>
    </row>
    <row r="273" customFormat="false" ht="15.75" hidden="false" customHeight="false" outlineLevel="0" collapsed="false">
      <c r="A273" s="4"/>
      <c r="B273" s="3"/>
      <c r="C273" s="3"/>
    </row>
    <row r="274" customFormat="false" ht="15.75" hidden="false" customHeight="false" outlineLevel="0" collapsed="false">
      <c r="A274" s="4"/>
      <c r="B274" s="3"/>
      <c r="C274" s="3"/>
    </row>
    <row r="275" customFormat="false" ht="15.75" hidden="false" customHeight="false" outlineLevel="0" collapsed="false">
      <c r="A275" s="4"/>
      <c r="B275" s="3"/>
      <c r="C275" s="3"/>
    </row>
    <row r="276" customFormat="false" ht="15.75" hidden="false" customHeight="false" outlineLevel="0" collapsed="false">
      <c r="A276" s="4"/>
      <c r="B276" s="3"/>
      <c r="C276" s="3"/>
    </row>
    <row r="277" customFormat="false" ht="15.75" hidden="false" customHeight="false" outlineLevel="0" collapsed="false">
      <c r="A277" s="4"/>
      <c r="B277" s="3"/>
      <c r="C277" s="3"/>
    </row>
    <row r="278" customFormat="false" ht="15.75" hidden="false" customHeight="false" outlineLevel="0" collapsed="false">
      <c r="A278" s="4"/>
      <c r="B278" s="3"/>
      <c r="C278" s="3"/>
    </row>
    <row r="279" customFormat="false" ht="15.75" hidden="false" customHeight="false" outlineLevel="0" collapsed="false">
      <c r="A279" s="4"/>
      <c r="B279" s="3"/>
      <c r="C279" s="3"/>
    </row>
    <row r="280" customFormat="false" ht="15.75" hidden="false" customHeight="false" outlineLevel="0" collapsed="false">
      <c r="A280" s="4"/>
      <c r="B280" s="3"/>
    </row>
    <row r="281" customFormat="false" ht="15.75" hidden="false" customHeight="false" outlineLevel="0" collapsed="false">
      <c r="A281" s="4"/>
      <c r="B281" s="3"/>
      <c r="C281" s="3"/>
    </row>
    <row r="282" customFormat="false" ht="15.75" hidden="false" customHeight="false" outlineLevel="0" collapsed="false">
      <c r="A282" s="4"/>
      <c r="B282" s="3"/>
    </row>
    <row r="283" customFormat="false" ht="15.75" hidden="false" customHeight="false" outlineLevel="0" collapsed="false">
      <c r="A283" s="4"/>
      <c r="B283" s="3"/>
    </row>
    <row r="284" customFormat="false" ht="15.75" hidden="false" customHeight="false" outlineLevel="0" collapsed="false">
      <c r="A284" s="4"/>
      <c r="B284" s="3"/>
      <c r="C284" s="3"/>
    </row>
    <row r="285" customFormat="false" ht="15.75" hidden="false" customHeight="false" outlineLevel="0" collapsed="false">
      <c r="A285" s="4"/>
      <c r="B285" s="3"/>
      <c r="C285" s="3"/>
    </row>
    <row r="286" customFormat="false" ht="15.75" hidden="false" customHeight="false" outlineLevel="0" collapsed="false">
      <c r="A286" s="4"/>
      <c r="B286" s="3"/>
      <c r="C286" s="3"/>
    </row>
    <row r="287" customFormat="false" ht="15.75" hidden="false" customHeight="false" outlineLevel="0" collapsed="false">
      <c r="A287" s="4"/>
      <c r="B287" s="3"/>
    </row>
    <row r="288" customFormat="false" ht="15.75" hidden="false" customHeight="false" outlineLevel="0" collapsed="false">
      <c r="A288" s="4"/>
      <c r="B288" s="3"/>
      <c r="C288" s="3"/>
    </row>
    <row r="289" customFormat="false" ht="15.75" hidden="false" customHeight="false" outlineLevel="0" collapsed="false">
      <c r="A289" s="4"/>
      <c r="B289" s="3"/>
    </row>
    <row r="290" customFormat="false" ht="15.75" hidden="false" customHeight="false" outlineLevel="0" collapsed="false">
      <c r="A290" s="4"/>
      <c r="B290" s="3"/>
      <c r="C290" s="3"/>
    </row>
    <row r="291" customFormat="false" ht="15.75" hidden="false" customHeight="false" outlineLevel="0" collapsed="false">
      <c r="A291" s="4"/>
      <c r="B291" s="3"/>
      <c r="C291" s="3"/>
    </row>
    <row r="292" customFormat="false" ht="15.75" hidden="false" customHeight="false" outlineLevel="0" collapsed="false">
      <c r="A292" s="4"/>
      <c r="B292" s="3"/>
      <c r="C292" s="3"/>
    </row>
    <row r="293" customFormat="false" ht="15.75" hidden="false" customHeight="false" outlineLevel="0" collapsed="false">
      <c r="A293" s="4"/>
      <c r="B293" s="3"/>
    </row>
    <row r="294" customFormat="false" ht="15.75" hidden="false" customHeight="false" outlineLevel="0" collapsed="false">
      <c r="A294" s="4"/>
      <c r="B294" s="3"/>
    </row>
    <row r="295" customFormat="false" ht="15.75" hidden="false" customHeight="false" outlineLevel="0" collapsed="false">
      <c r="A295" s="4"/>
      <c r="B295" s="3"/>
    </row>
    <row r="296" customFormat="false" ht="15.75" hidden="false" customHeight="false" outlineLevel="0" collapsed="false">
      <c r="A296" s="4"/>
      <c r="B296" s="3"/>
      <c r="C296" s="3"/>
    </row>
    <row r="297" customFormat="false" ht="15.75" hidden="false" customHeight="false" outlineLevel="0" collapsed="false">
      <c r="A297" s="4"/>
      <c r="B297" s="3"/>
    </row>
    <row r="298" customFormat="false" ht="15.75" hidden="false" customHeight="false" outlineLevel="0" collapsed="false">
      <c r="A298" s="4"/>
      <c r="B298" s="3"/>
      <c r="C298" s="3"/>
    </row>
    <row r="299" customFormat="false" ht="15.75" hidden="false" customHeight="false" outlineLevel="0" collapsed="false">
      <c r="A299" s="4"/>
      <c r="B299" s="3"/>
      <c r="C299" s="3"/>
    </row>
    <row r="300" customFormat="false" ht="15.75" hidden="false" customHeight="false" outlineLevel="0" collapsed="false">
      <c r="A300" s="4"/>
      <c r="B300" s="3"/>
      <c r="C300" s="3"/>
    </row>
    <row r="301" customFormat="false" ht="15.75" hidden="false" customHeight="false" outlineLevel="0" collapsed="false">
      <c r="A301" s="4"/>
      <c r="B301" s="3"/>
      <c r="C301" s="3"/>
    </row>
    <row r="302" customFormat="false" ht="15.75" hidden="false" customHeight="false" outlineLevel="0" collapsed="false">
      <c r="A302" s="4"/>
      <c r="B302" s="3"/>
      <c r="C302" s="3"/>
    </row>
    <row r="303" customFormat="false" ht="15.75" hidden="false" customHeight="false" outlineLevel="0" collapsed="false">
      <c r="A303" s="4"/>
      <c r="B303" s="3"/>
      <c r="C303" s="3"/>
    </row>
    <row r="304" customFormat="false" ht="15.75" hidden="false" customHeight="false" outlineLevel="0" collapsed="false">
      <c r="A304" s="4"/>
      <c r="B304" s="3"/>
      <c r="C304" s="3"/>
    </row>
    <row r="305" customFormat="false" ht="15.75" hidden="false" customHeight="false" outlineLevel="0" collapsed="false">
      <c r="A305" s="4"/>
      <c r="B305" s="3"/>
      <c r="C305" s="3"/>
    </row>
    <row r="306" customFormat="false" ht="15.75" hidden="false" customHeight="false" outlineLevel="0" collapsed="false">
      <c r="A306" s="4"/>
      <c r="B306" s="3"/>
      <c r="C306" s="3"/>
    </row>
    <row r="307" customFormat="false" ht="15.75" hidden="false" customHeight="false" outlineLevel="0" collapsed="false">
      <c r="A307" s="4"/>
      <c r="B307" s="3"/>
      <c r="C307" s="3"/>
    </row>
    <row r="308" customFormat="false" ht="15.75" hidden="false" customHeight="false" outlineLevel="0" collapsed="false">
      <c r="A308" s="4"/>
      <c r="B308" s="3"/>
      <c r="C308" s="3"/>
    </row>
    <row r="309" customFormat="false" ht="15.75" hidden="false" customHeight="false" outlineLevel="0" collapsed="false">
      <c r="A309" s="4"/>
      <c r="B309" s="3"/>
      <c r="C309" s="3"/>
    </row>
    <row r="310" customFormat="false" ht="15.75" hidden="false" customHeight="false" outlineLevel="0" collapsed="false">
      <c r="A310" s="4"/>
      <c r="B310" s="3"/>
      <c r="C310" s="3"/>
    </row>
    <row r="311" customFormat="false" ht="15.75" hidden="false" customHeight="false" outlineLevel="0" collapsed="false">
      <c r="A311" s="4"/>
      <c r="B311" s="3"/>
      <c r="C311" s="3"/>
    </row>
    <row r="312" customFormat="false" ht="15.75" hidden="false" customHeight="false" outlineLevel="0" collapsed="false">
      <c r="A312" s="4"/>
      <c r="B312" s="3"/>
      <c r="C312" s="3"/>
    </row>
    <row r="313" customFormat="false" ht="15.75" hidden="false" customHeight="false" outlineLevel="0" collapsed="false">
      <c r="A313" s="4"/>
      <c r="B313" s="3"/>
      <c r="C313" s="3"/>
    </row>
    <row r="314" customFormat="false" ht="15.75" hidden="false" customHeight="false" outlineLevel="0" collapsed="false">
      <c r="A314" s="4"/>
      <c r="B314" s="3"/>
      <c r="C314" s="3"/>
    </row>
    <row r="315" customFormat="false" ht="15.75" hidden="false" customHeight="false" outlineLevel="0" collapsed="false">
      <c r="A315" s="4"/>
      <c r="B315" s="3"/>
      <c r="C315" s="3"/>
    </row>
    <row r="316" customFormat="false" ht="15.75" hidden="false" customHeight="false" outlineLevel="0" collapsed="false">
      <c r="A316" s="4"/>
      <c r="B316" s="3"/>
      <c r="C316" s="3"/>
    </row>
    <row r="317" customFormat="false" ht="15.75" hidden="false" customHeight="false" outlineLevel="0" collapsed="false">
      <c r="A317" s="4"/>
      <c r="B317" s="3"/>
      <c r="C317" s="3"/>
    </row>
    <row r="318" customFormat="false" ht="15.75" hidden="false" customHeight="false" outlineLevel="0" collapsed="false">
      <c r="A318" s="4"/>
      <c r="B318" s="3"/>
      <c r="C318" s="3"/>
    </row>
    <row r="319" customFormat="false" ht="15.75" hidden="false" customHeight="false" outlineLevel="0" collapsed="false">
      <c r="A319" s="4"/>
      <c r="B319" s="3"/>
      <c r="C319" s="3"/>
    </row>
    <row r="320" customFormat="false" ht="15.75" hidden="false" customHeight="false" outlineLevel="0" collapsed="false">
      <c r="A320" s="4"/>
      <c r="B320" s="3"/>
      <c r="C320" s="3"/>
    </row>
    <row r="321" customFormat="false" ht="15.75" hidden="false" customHeight="false" outlineLevel="0" collapsed="false">
      <c r="A321" s="4"/>
      <c r="B321" s="3"/>
      <c r="C321" s="3"/>
    </row>
    <row r="322" customFormat="false" ht="15.75" hidden="false" customHeight="false" outlineLevel="0" collapsed="false">
      <c r="A322" s="4"/>
      <c r="B322" s="3"/>
      <c r="C322" s="3"/>
    </row>
    <row r="323" customFormat="false" ht="15.75" hidden="false" customHeight="false" outlineLevel="0" collapsed="false">
      <c r="A323" s="4"/>
      <c r="B323" s="3"/>
      <c r="C323" s="3"/>
    </row>
    <row r="324" customFormat="false" ht="15.75" hidden="false" customHeight="false" outlineLevel="0" collapsed="false">
      <c r="A324" s="4"/>
      <c r="B324" s="3"/>
      <c r="C324" s="3"/>
    </row>
    <row r="325" customFormat="false" ht="15.75" hidden="false" customHeight="false" outlineLevel="0" collapsed="false">
      <c r="A325" s="4"/>
      <c r="B325" s="3"/>
      <c r="C325" s="3"/>
    </row>
    <row r="326" customFormat="false" ht="15.75" hidden="false" customHeight="false" outlineLevel="0" collapsed="false">
      <c r="A326" s="4"/>
      <c r="B326" s="3"/>
      <c r="C326" s="3"/>
    </row>
    <row r="327" customFormat="false" ht="15.75" hidden="false" customHeight="false" outlineLevel="0" collapsed="false">
      <c r="A327" s="4"/>
      <c r="B327" s="3"/>
      <c r="C327" s="3"/>
    </row>
    <row r="328" customFormat="false" ht="15.75" hidden="false" customHeight="false" outlineLevel="0" collapsed="false">
      <c r="A328" s="4"/>
      <c r="B328" s="3"/>
      <c r="C328" s="3"/>
    </row>
    <row r="329" customFormat="false" ht="15.75" hidden="false" customHeight="false" outlineLevel="0" collapsed="false">
      <c r="A329" s="4"/>
      <c r="B329" s="3"/>
      <c r="C329" s="3"/>
    </row>
    <row r="330" customFormat="false" ht="15.75" hidden="false" customHeight="false" outlineLevel="0" collapsed="false">
      <c r="A330" s="4"/>
      <c r="B330" s="3"/>
      <c r="C330" s="3"/>
    </row>
    <row r="331" customFormat="false" ht="15.75" hidden="false" customHeight="false" outlineLevel="0" collapsed="false">
      <c r="A331" s="4"/>
      <c r="B331" s="3"/>
      <c r="C331" s="3"/>
    </row>
    <row r="332" customFormat="false" ht="15.75" hidden="false" customHeight="false" outlineLevel="0" collapsed="false">
      <c r="A332" s="4"/>
      <c r="B332" s="3"/>
      <c r="C332" s="3"/>
    </row>
    <row r="333" customFormat="false" ht="15.75" hidden="false" customHeight="false" outlineLevel="0" collapsed="false">
      <c r="A333" s="4"/>
      <c r="B333" s="3"/>
      <c r="C333" s="3"/>
    </row>
    <row r="334" customFormat="false" ht="15.75" hidden="false" customHeight="false" outlineLevel="0" collapsed="false">
      <c r="A334" s="4"/>
      <c r="B334" s="3"/>
      <c r="C334" s="3"/>
    </row>
    <row r="335" customFormat="false" ht="15.75" hidden="false" customHeight="false" outlineLevel="0" collapsed="false">
      <c r="A335" s="4"/>
      <c r="B335" s="3"/>
      <c r="C335" s="3"/>
    </row>
    <row r="336" customFormat="false" ht="15.75" hidden="false" customHeight="false" outlineLevel="0" collapsed="false">
      <c r="A336" s="4"/>
      <c r="B336" s="3"/>
      <c r="C336" s="3"/>
    </row>
    <row r="337" customFormat="false" ht="15.75" hidden="false" customHeight="false" outlineLevel="0" collapsed="false">
      <c r="A337" s="4"/>
      <c r="B337" s="3"/>
      <c r="C337" s="3"/>
    </row>
    <row r="338" customFormat="false" ht="15.75" hidden="false" customHeight="false" outlineLevel="0" collapsed="false">
      <c r="A338" s="4"/>
      <c r="B338" s="3"/>
      <c r="C338" s="3"/>
    </row>
    <row r="339" customFormat="false" ht="15.75" hidden="false" customHeight="false" outlineLevel="0" collapsed="false">
      <c r="A339" s="4"/>
      <c r="B339" s="3"/>
      <c r="C339" s="3"/>
    </row>
    <row r="340" customFormat="false" ht="15.75" hidden="false" customHeight="false" outlineLevel="0" collapsed="false">
      <c r="A340" s="4"/>
      <c r="B340" s="3"/>
      <c r="C340" s="3"/>
    </row>
    <row r="341" customFormat="false" ht="15.75" hidden="false" customHeight="false" outlineLevel="0" collapsed="false">
      <c r="A341" s="4"/>
      <c r="B341" s="3"/>
      <c r="C341" s="3"/>
    </row>
    <row r="342" customFormat="false" ht="15.75" hidden="false" customHeight="false" outlineLevel="0" collapsed="false">
      <c r="A342" s="4"/>
      <c r="B342" s="3"/>
      <c r="C342" s="3"/>
    </row>
    <row r="343" customFormat="false" ht="15.75" hidden="false" customHeight="false" outlineLevel="0" collapsed="false">
      <c r="A343" s="4"/>
      <c r="B343" s="3"/>
      <c r="C343" s="3"/>
    </row>
    <row r="344" customFormat="false" ht="15.75" hidden="false" customHeight="false" outlineLevel="0" collapsed="false">
      <c r="A344" s="4"/>
      <c r="B344" s="3"/>
      <c r="C344" s="3"/>
    </row>
    <row r="345" customFormat="false" ht="15.75" hidden="false" customHeight="false" outlineLevel="0" collapsed="false">
      <c r="A345" s="4"/>
      <c r="B345" s="3"/>
      <c r="C345" s="3"/>
    </row>
    <row r="346" customFormat="false" ht="15.75" hidden="false" customHeight="false" outlineLevel="0" collapsed="false">
      <c r="A346" s="4"/>
      <c r="B346" s="3"/>
      <c r="C346" s="3"/>
    </row>
    <row r="347" customFormat="false" ht="15.75" hidden="false" customHeight="false" outlineLevel="0" collapsed="false">
      <c r="A347" s="4"/>
      <c r="B347" s="3"/>
      <c r="C347" s="3"/>
    </row>
    <row r="348" customFormat="false" ht="15.75" hidden="false" customHeight="false" outlineLevel="0" collapsed="false">
      <c r="A348" s="4"/>
      <c r="B348" s="3"/>
      <c r="C348" s="3"/>
    </row>
    <row r="349" customFormat="false" ht="15.75" hidden="false" customHeight="false" outlineLevel="0" collapsed="false">
      <c r="A349" s="4"/>
      <c r="B349" s="3"/>
      <c r="C349" s="3"/>
    </row>
    <row r="350" customFormat="false" ht="15.75" hidden="false" customHeight="false" outlineLevel="0" collapsed="false">
      <c r="A350" s="4"/>
      <c r="B350" s="3"/>
      <c r="C350" s="3"/>
    </row>
    <row r="351" customFormat="false" ht="15.75" hidden="false" customHeight="false" outlineLevel="0" collapsed="false">
      <c r="A351" s="4"/>
      <c r="B351" s="3"/>
      <c r="C351" s="3"/>
    </row>
    <row r="352" customFormat="false" ht="15.75" hidden="false" customHeight="false" outlineLevel="0" collapsed="false">
      <c r="A352" s="4"/>
      <c r="B352" s="3"/>
      <c r="C352" s="3"/>
    </row>
    <row r="353" customFormat="false" ht="15.75" hidden="false" customHeight="false" outlineLevel="0" collapsed="false">
      <c r="A353" s="4"/>
      <c r="B353" s="3"/>
      <c r="C353" s="3"/>
    </row>
    <row r="354" customFormat="false" ht="15.75" hidden="false" customHeight="false" outlineLevel="0" collapsed="false">
      <c r="A354" s="4"/>
      <c r="B354" s="3"/>
      <c r="C354" s="3"/>
    </row>
    <row r="355" customFormat="false" ht="15.75" hidden="false" customHeight="false" outlineLevel="0" collapsed="false">
      <c r="A355" s="4"/>
      <c r="B355" s="3"/>
      <c r="C355" s="3"/>
    </row>
    <row r="356" customFormat="false" ht="15.75" hidden="false" customHeight="false" outlineLevel="0" collapsed="false">
      <c r="A356" s="4"/>
      <c r="B356" s="3"/>
      <c r="C356" s="3"/>
    </row>
    <row r="357" customFormat="false" ht="15.75" hidden="false" customHeight="false" outlineLevel="0" collapsed="false">
      <c r="A357" s="4"/>
      <c r="B357" s="3"/>
      <c r="C357" s="3"/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4"/>
      <c r="B362" s="3"/>
      <c r="C362" s="3"/>
    </row>
    <row r="363" customFormat="false" ht="15.75" hidden="false" customHeight="false" outlineLevel="0" collapsed="false">
      <c r="A363" s="4"/>
      <c r="B363" s="3"/>
      <c r="C363" s="3"/>
    </row>
    <row r="364" customFormat="false" ht="15.75" hidden="false" customHeight="false" outlineLevel="0" collapsed="false">
      <c r="A364" s="4"/>
      <c r="B364" s="3"/>
      <c r="C364" s="3"/>
    </row>
    <row r="365" customFormat="false" ht="15.75" hidden="false" customHeight="false" outlineLevel="0" collapsed="false">
      <c r="A365" s="4"/>
      <c r="B365" s="3"/>
      <c r="C365" s="3"/>
    </row>
    <row r="366" customFormat="false" ht="15.75" hidden="false" customHeight="false" outlineLevel="0" collapsed="false">
      <c r="A366" s="4"/>
      <c r="B366" s="3"/>
      <c r="C366" s="3"/>
    </row>
    <row r="367" customFormat="false" ht="15.75" hidden="false" customHeight="false" outlineLevel="0" collapsed="false">
      <c r="A367" s="4"/>
      <c r="B367" s="3"/>
      <c r="C367" s="3"/>
    </row>
    <row r="368" customFormat="false" ht="15.75" hidden="false" customHeight="false" outlineLevel="0" collapsed="false">
      <c r="A368" s="4"/>
      <c r="B368" s="3"/>
      <c r="C368" s="3"/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4"/>
      <c r="B372" s="3"/>
      <c r="C372" s="3"/>
    </row>
    <row r="373" customFormat="false" ht="15.75" hidden="false" customHeight="false" outlineLevel="0" collapsed="false">
      <c r="A373" s="4"/>
      <c r="B373" s="3"/>
      <c r="C373" s="3"/>
    </row>
    <row r="374" customFormat="false" ht="15.75" hidden="false" customHeight="false" outlineLevel="0" collapsed="false">
      <c r="A374" s="4"/>
      <c r="B374" s="3"/>
      <c r="C374" s="3"/>
    </row>
    <row r="375" customFormat="false" ht="15.75" hidden="false" customHeight="false" outlineLevel="0" collapsed="false">
      <c r="A375" s="4"/>
      <c r="B375" s="3"/>
      <c r="C375" s="3"/>
    </row>
    <row r="376" customFormat="false" ht="15.75" hidden="false" customHeight="false" outlineLevel="0" collapsed="false">
      <c r="A376" s="4"/>
      <c r="B376" s="3"/>
      <c r="C376" s="3"/>
    </row>
    <row r="377" customFormat="false" ht="15.75" hidden="false" customHeight="false" outlineLevel="0" collapsed="false">
      <c r="A377" s="4"/>
      <c r="B377" s="3"/>
      <c r="C377" s="3"/>
    </row>
    <row r="378" customFormat="false" ht="15.75" hidden="false" customHeight="false" outlineLevel="0" collapsed="false">
      <c r="A378" s="4"/>
      <c r="B378" s="3"/>
      <c r="C378" s="3"/>
    </row>
    <row r="379" customFormat="false" ht="15.75" hidden="false" customHeight="false" outlineLevel="0" collapsed="false">
      <c r="A379" s="4"/>
      <c r="B379" s="3"/>
      <c r="C379" s="3"/>
    </row>
    <row r="380" customFormat="false" ht="15.75" hidden="false" customHeight="false" outlineLevel="0" collapsed="false">
      <c r="A380" s="4"/>
      <c r="B380" s="3"/>
      <c r="C380" s="3"/>
    </row>
    <row r="381" customFormat="false" ht="15.75" hidden="false" customHeight="false" outlineLevel="0" collapsed="false">
      <c r="A381" s="4"/>
      <c r="B381" s="3"/>
      <c r="C381" s="3"/>
    </row>
    <row r="382" customFormat="false" ht="15.75" hidden="false" customHeight="false" outlineLevel="0" collapsed="false">
      <c r="A382" s="4"/>
      <c r="B382" s="3"/>
      <c r="C382" s="3"/>
    </row>
    <row r="383" customFormat="false" ht="15.75" hidden="false" customHeight="false" outlineLevel="0" collapsed="false">
      <c r="A383" s="4"/>
      <c r="B383" s="3"/>
      <c r="C383" s="3"/>
    </row>
    <row r="384" customFormat="false" ht="15.75" hidden="false" customHeight="false" outlineLevel="0" collapsed="false">
      <c r="A384" s="4"/>
      <c r="B384" s="3"/>
      <c r="C384" s="3"/>
    </row>
    <row r="385" customFormat="false" ht="15.75" hidden="false" customHeight="false" outlineLevel="0" collapsed="false">
      <c r="A385" s="4"/>
      <c r="B385" s="3"/>
      <c r="C385" s="3"/>
    </row>
    <row r="386" customFormat="false" ht="15.75" hidden="false" customHeight="false" outlineLevel="0" collapsed="false">
      <c r="A386" s="4"/>
      <c r="B386" s="3"/>
      <c r="C386" s="3"/>
    </row>
    <row r="387" customFormat="false" ht="15.75" hidden="false" customHeight="false" outlineLevel="0" collapsed="false">
      <c r="A387" s="4"/>
      <c r="B387" s="3"/>
      <c r="C387" s="3"/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</row>
    <row r="395" customFormat="false" ht="15.75" hidden="false" customHeight="false" outlineLevel="0" collapsed="false">
      <c r="A395" s="4"/>
      <c r="B395" s="3"/>
      <c r="C395" s="3"/>
    </row>
    <row r="396" customFormat="false" ht="15.75" hidden="false" customHeight="false" outlineLevel="0" collapsed="false">
      <c r="A396" s="4"/>
      <c r="B396" s="3"/>
      <c r="C396" s="3"/>
    </row>
    <row r="397" customFormat="false" ht="15.75" hidden="false" customHeight="false" outlineLevel="0" collapsed="false">
      <c r="A397" s="4"/>
      <c r="B397" s="3"/>
      <c r="C397" s="3"/>
    </row>
    <row r="398" customFormat="false" ht="15.75" hidden="false" customHeight="false" outlineLevel="0" collapsed="false">
      <c r="A398" s="4"/>
      <c r="B398" s="3"/>
      <c r="C398" s="3"/>
    </row>
    <row r="399" customFormat="false" ht="15.75" hidden="false" customHeight="false" outlineLevel="0" collapsed="false">
      <c r="A399" s="4"/>
      <c r="B399" s="3"/>
      <c r="C399" s="3"/>
    </row>
    <row r="400" customFormat="false" ht="15.75" hidden="false" customHeight="false" outlineLevel="0" collapsed="false">
      <c r="A400" s="4"/>
      <c r="B400" s="3"/>
      <c r="C400" s="3"/>
    </row>
    <row r="401" customFormat="false" ht="15.75" hidden="false" customHeight="false" outlineLevel="0" collapsed="false">
      <c r="A401" s="4"/>
      <c r="B401" s="3"/>
      <c r="C401" s="3"/>
    </row>
    <row r="402" customFormat="false" ht="15.75" hidden="false" customHeight="false" outlineLevel="0" collapsed="false">
      <c r="A402" s="4"/>
      <c r="B402" s="3"/>
      <c r="C402" s="3"/>
    </row>
    <row r="403" customFormat="false" ht="15.75" hidden="false" customHeight="false" outlineLevel="0" collapsed="false">
      <c r="A403" s="4"/>
      <c r="B403" s="3"/>
      <c r="C403" s="3"/>
    </row>
    <row r="404" customFormat="false" ht="15.75" hidden="false" customHeight="false" outlineLevel="0" collapsed="false">
      <c r="A404" s="4"/>
      <c r="B404" s="3"/>
      <c r="C404" s="3"/>
    </row>
    <row r="405" customFormat="false" ht="15.75" hidden="false" customHeight="false" outlineLevel="0" collapsed="false">
      <c r="A405" s="4"/>
      <c r="B405" s="3"/>
      <c r="C405" s="3"/>
    </row>
    <row r="406" customFormat="false" ht="15.75" hidden="false" customHeight="false" outlineLevel="0" collapsed="false">
      <c r="A406" s="4"/>
      <c r="B406" s="3"/>
      <c r="C406" s="3"/>
    </row>
    <row r="407" customFormat="false" ht="15.75" hidden="false" customHeight="false" outlineLevel="0" collapsed="false">
      <c r="A407" s="4"/>
      <c r="B407" s="3"/>
      <c r="C407" s="3"/>
    </row>
    <row r="408" customFormat="false" ht="15.75" hidden="false" customHeight="false" outlineLevel="0" collapsed="false">
      <c r="A408" s="4"/>
      <c r="B408" s="3"/>
      <c r="C408" s="3"/>
    </row>
    <row r="409" customFormat="false" ht="15.75" hidden="false" customHeight="false" outlineLevel="0" collapsed="false">
      <c r="A409" s="4"/>
      <c r="B409" s="3"/>
      <c r="C409" s="3"/>
    </row>
    <row r="410" customFormat="false" ht="15.75" hidden="false" customHeight="false" outlineLevel="0" collapsed="false">
      <c r="A410" s="4"/>
      <c r="B410" s="3"/>
      <c r="C410" s="3"/>
    </row>
    <row r="411" customFormat="false" ht="15.75" hidden="false" customHeight="false" outlineLevel="0" collapsed="false">
      <c r="A411" s="4"/>
      <c r="B411" s="3"/>
      <c r="C411" s="3"/>
    </row>
    <row r="412" customFormat="false" ht="15.75" hidden="false" customHeight="false" outlineLevel="0" collapsed="false">
      <c r="A412" s="4"/>
      <c r="B412" s="3"/>
      <c r="C412" s="3"/>
    </row>
    <row r="413" customFormat="false" ht="15.75" hidden="false" customHeight="false" outlineLevel="0" collapsed="false">
      <c r="A413" s="4"/>
      <c r="B413" s="3"/>
      <c r="C413" s="3"/>
    </row>
    <row r="414" customFormat="false" ht="15.75" hidden="false" customHeight="false" outlineLevel="0" collapsed="false">
      <c r="A414" s="4"/>
      <c r="B414" s="3"/>
      <c r="C414" s="3"/>
    </row>
    <row r="415" customFormat="false" ht="15.75" hidden="false" customHeight="false" outlineLevel="0" collapsed="false">
      <c r="A415" s="4"/>
      <c r="B415" s="3"/>
      <c r="C415" s="3"/>
    </row>
    <row r="416" customFormat="false" ht="15.75" hidden="false" customHeight="false" outlineLevel="0" collapsed="false">
      <c r="A416" s="4"/>
      <c r="B416" s="3"/>
      <c r="C416" s="3"/>
    </row>
    <row r="417" customFormat="false" ht="15.75" hidden="false" customHeight="false" outlineLevel="0" collapsed="false">
      <c r="A417" s="4"/>
      <c r="B417" s="3"/>
      <c r="C417" s="3"/>
    </row>
    <row r="418" customFormat="false" ht="15.75" hidden="false" customHeight="false" outlineLevel="0" collapsed="false">
      <c r="A418" s="4"/>
      <c r="B418" s="3"/>
      <c r="C418" s="3"/>
    </row>
    <row r="419" customFormat="false" ht="15.75" hidden="false" customHeight="false" outlineLevel="0" collapsed="false">
      <c r="A419" s="4"/>
      <c r="B419" s="3"/>
      <c r="C419" s="3"/>
    </row>
    <row r="420" customFormat="false" ht="15.75" hidden="false" customHeight="false" outlineLevel="0" collapsed="false">
      <c r="A420" s="4"/>
      <c r="B420" s="3"/>
      <c r="C420" s="3"/>
    </row>
    <row r="421" customFormat="false" ht="15.75" hidden="false" customHeight="false" outlineLevel="0" collapsed="false">
      <c r="A421" s="4"/>
      <c r="B421" s="3"/>
      <c r="C421" s="3"/>
    </row>
    <row r="422" customFormat="false" ht="15.75" hidden="false" customHeight="false" outlineLevel="0" collapsed="false">
      <c r="A422" s="4"/>
      <c r="B422" s="3"/>
      <c r="C422" s="3"/>
    </row>
    <row r="423" customFormat="false" ht="15.75" hidden="false" customHeight="false" outlineLevel="0" collapsed="false">
      <c r="A423" s="4"/>
      <c r="B423" s="3"/>
      <c r="C423" s="3"/>
    </row>
    <row r="424" customFormat="false" ht="15.75" hidden="false" customHeight="false" outlineLevel="0" collapsed="false">
      <c r="A424" s="4"/>
      <c r="B424" s="3"/>
      <c r="C424" s="3"/>
    </row>
    <row r="425" customFormat="false" ht="15.75" hidden="false" customHeight="false" outlineLevel="0" collapsed="false">
      <c r="A425" s="4"/>
      <c r="B425" s="3"/>
      <c r="C425" s="3"/>
    </row>
    <row r="426" customFormat="false" ht="15.75" hidden="false" customHeight="false" outlineLevel="0" collapsed="false">
      <c r="A426" s="4"/>
      <c r="B426" s="3"/>
      <c r="C426" s="3"/>
    </row>
    <row r="427" customFormat="false" ht="15.75" hidden="false" customHeight="false" outlineLevel="0" collapsed="false">
      <c r="A427" s="4"/>
      <c r="B427" s="3"/>
      <c r="C427" s="3"/>
    </row>
    <row r="428" customFormat="false" ht="15.75" hidden="false" customHeight="false" outlineLevel="0" collapsed="false">
      <c r="A428" s="4"/>
      <c r="B428" s="3"/>
      <c r="C428" s="3"/>
    </row>
    <row r="429" customFormat="false" ht="15.75" hidden="false" customHeight="false" outlineLevel="0" collapsed="false">
      <c r="A429" s="4"/>
      <c r="B429" s="3"/>
      <c r="C429" s="3"/>
    </row>
    <row r="430" customFormat="false" ht="15.75" hidden="false" customHeight="false" outlineLevel="0" collapsed="false">
      <c r="A430" s="4"/>
      <c r="B430" s="3"/>
      <c r="C430" s="3"/>
    </row>
    <row r="431" customFormat="false" ht="15.75" hidden="false" customHeight="false" outlineLevel="0" collapsed="false">
      <c r="A431" s="4"/>
      <c r="B431" s="3"/>
      <c r="C431" s="3"/>
    </row>
    <row r="432" customFormat="false" ht="15.75" hidden="false" customHeight="false" outlineLevel="0" collapsed="false">
      <c r="A432" s="4"/>
      <c r="B432" s="3"/>
      <c r="C432" s="3"/>
    </row>
    <row r="433" customFormat="false" ht="15.75" hidden="false" customHeight="false" outlineLevel="0" collapsed="false">
      <c r="A433" s="4"/>
      <c r="B433" s="3"/>
      <c r="C433" s="3"/>
    </row>
    <row r="434" customFormat="false" ht="15.75" hidden="false" customHeight="false" outlineLevel="0" collapsed="false">
      <c r="A434" s="4"/>
      <c r="B434" s="3"/>
      <c r="C434" s="3"/>
    </row>
    <row r="435" customFormat="false" ht="15.75" hidden="false" customHeight="false" outlineLevel="0" collapsed="false">
      <c r="A435" s="4"/>
      <c r="B435" s="3"/>
      <c r="C435" s="3"/>
    </row>
    <row r="436" customFormat="false" ht="15.75" hidden="false" customHeight="false" outlineLevel="0" collapsed="false">
      <c r="A436" s="4"/>
      <c r="B436" s="3"/>
      <c r="C436" s="3"/>
    </row>
    <row r="437" customFormat="false" ht="15.75" hidden="false" customHeight="false" outlineLevel="0" collapsed="false">
      <c r="A437" s="4"/>
      <c r="B437" s="3"/>
      <c r="C437" s="3"/>
    </row>
    <row r="438" customFormat="false" ht="15.75" hidden="false" customHeight="false" outlineLevel="0" collapsed="false">
      <c r="A438" s="4"/>
      <c r="B438" s="3"/>
      <c r="C438" s="3"/>
    </row>
    <row r="439" customFormat="false" ht="15.75" hidden="false" customHeight="false" outlineLevel="0" collapsed="false">
      <c r="A439" s="4"/>
      <c r="B439" s="3"/>
      <c r="C439" s="3"/>
    </row>
    <row r="440" customFormat="false" ht="15.75" hidden="false" customHeight="false" outlineLevel="0" collapsed="false">
      <c r="A440" s="4"/>
      <c r="B440" s="3"/>
      <c r="C440" s="3"/>
    </row>
    <row r="441" customFormat="false" ht="15.75" hidden="false" customHeight="false" outlineLevel="0" collapsed="false">
      <c r="A441" s="4"/>
      <c r="B441" s="3"/>
      <c r="C441" s="3"/>
    </row>
    <row r="442" customFormat="false" ht="15.75" hidden="false" customHeight="false" outlineLevel="0" collapsed="false">
      <c r="A442" s="4"/>
      <c r="B442" s="3"/>
      <c r="C442" s="3"/>
    </row>
    <row r="443" customFormat="false" ht="15.75" hidden="false" customHeight="false" outlineLevel="0" collapsed="false">
      <c r="A443" s="4"/>
      <c r="B443" s="3"/>
      <c r="C443" s="3"/>
    </row>
    <row r="444" customFormat="false" ht="15.75" hidden="false" customHeight="false" outlineLevel="0" collapsed="false">
      <c r="A444" s="4"/>
      <c r="B444" s="3"/>
      <c r="C444" s="3"/>
    </row>
    <row r="445" customFormat="false" ht="15.75" hidden="false" customHeight="false" outlineLevel="0" collapsed="false">
      <c r="A445" s="4"/>
      <c r="B445" s="3"/>
      <c r="C445" s="3"/>
    </row>
    <row r="446" customFormat="false" ht="15.75" hidden="false" customHeight="false" outlineLevel="0" collapsed="false">
      <c r="A446" s="4"/>
      <c r="B446" s="3"/>
      <c r="C446" s="3"/>
    </row>
    <row r="447" customFormat="false" ht="15.75" hidden="false" customHeight="false" outlineLevel="0" collapsed="false">
      <c r="A447" s="4"/>
      <c r="B447" s="3"/>
      <c r="C447" s="3"/>
    </row>
    <row r="448" customFormat="false" ht="15.75" hidden="false" customHeight="false" outlineLevel="0" collapsed="false">
      <c r="A448" s="4"/>
      <c r="B448" s="3"/>
      <c r="C448" s="3"/>
    </row>
    <row r="449" customFormat="false" ht="15.75" hidden="false" customHeight="false" outlineLevel="0" collapsed="false">
      <c r="A449" s="4"/>
      <c r="B449" s="3"/>
      <c r="C449" s="3"/>
    </row>
    <row r="450" customFormat="false" ht="15.75" hidden="false" customHeight="false" outlineLevel="0" collapsed="false">
      <c r="A450" s="4"/>
      <c r="B450" s="3"/>
      <c r="C450" s="3"/>
    </row>
    <row r="451" customFormat="false" ht="15.75" hidden="false" customHeight="false" outlineLevel="0" collapsed="false">
      <c r="A451" s="4"/>
      <c r="B451" s="3"/>
      <c r="C451" s="3"/>
    </row>
    <row r="452" customFormat="false" ht="15.75" hidden="false" customHeight="false" outlineLevel="0" collapsed="false">
      <c r="A452" s="4"/>
      <c r="B452" s="3"/>
      <c r="C452" s="3"/>
    </row>
    <row r="453" customFormat="false" ht="15.75" hidden="false" customHeight="false" outlineLevel="0" collapsed="false">
      <c r="A453" s="4"/>
      <c r="B453" s="3"/>
      <c r="C453" s="3"/>
    </row>
    <row r="454" customFormat="false" ht="15.75" hidden="false" customHeight="false" outlineLevel="0" collapsed="false">
      <c r="A454" s="4"/>
      <c r="B454" s="3"/>
      <c r="C454" s="3"/>
    </row>
    <row r="455" customFormat="false" ht="15.75" hidden="false" customHeight="false" outlineLevel="0" collapsed="false">
      <c r="A455" s="4"/>
      <c r="B455" s="3"/>
      <c r="C455" s="3"/>
    </row>
    <row r="456" customFormat="false" ht="15.75" hidden="false" customHeight="false" outlineLevel="0" collapsed="false">
      <c r="A456" s="4"/>
      <c r="B456" s="3"/>
      <c r="C456" s="3"/>
    </row>
    <row r="457" customFormat="false" ht="15.75" hidden="false" customHeight="false" outlineLevel="0" collapsed="false">
      <c r="A457" s="4"/>
      <c r="B457" s="3"/>
      <c r="C457" s="3"/>
    </row>
    <row r="458" customFormat="false" ht="15.75" hidden="false" customHeight="false" outlineLevel="0" collapsed="false">
      <c r="A458" s="4"/>
      <c r="B458" s="3"/>
      <c r="C458" s="3"/>
    </row>
    <row r="459" customFormat="false" ht="15.75" hidden="false" customHeight="false" outlineLevel="0" collapsed="false">
      <c r="A459" s="4"/>
      <c r="B459" s="3"/>
      <c r="C459" s="3"/>
    </row>
    <row r="460" customFormat="false" ht="15.75" hidden="false" customHeight="false" outlineLevel="0" collapsed="false">
      <c r="A460" s="4"/>
      <c r="B460" s="3"/>
      <c r="C460" s="3"/>
    </row>
    <row r="461" customFormat="false" ht="15.75" hidden="false" customHeight="false" outlineLevel="0" collapsed="false">
      <c r="A461" s="4"/>
      <c r="B461" s="3"/>
      <c r="C461" s="3"/>
    </row>
    <row r="462" customFormat="false" ht="15.75" hidden="false" customHeight="false" outlineLevel="0" collapsed="false">
      <c r="A462" s="4"/>
      <c r="B462" s="3"/>
      <c r="C462" s="3"/>
    </row>
    <row r="463" customFormat="false" ht="15.75" hidden="false" customHeight="false" outlineLevel="0" collapsed="false">
      <c r="A463" s="4"/>
      <c r="B463" s="3"/>
      <c r="C463" s="3"/>
    </row>
    <row r="464" customFormat="false" ht="15.75" hidden="false" customHeight="false" outlineLevel="0" collapsed="false">
      <c r="A464" s="4"/>
      <c r="B464" s="3"/>
      <c r="C464" s="3"/>
    </row>
    <row r="465" customFormat="false" ht="15.75" hidden="false" customHeight="false" outlineLevel="0" collapsed="false">
      <c r="A465" s="4"/>
      <c r="B465" s="3"/>
      <c r="C465" s="3"/>
    </row>
    <row r="466" customFormat="false" ht="15.75" hidden="false" customHeight="false" outlineLevel="0" collapsed="false">
      <c r="A466" s="4"/>
      <c r="B466" s="3"/>
      <c r="C466" s="3"/>
    </row>
    <row r="467" customFormat="false" ht="15.75" hidden="false" customHeight="false" outlineLevel="0" collapsed="false">
      <c r="A467" s="4"/>
      <c r="B467" s="3"/>
      <c r="C467" s="3"/>
    </row>
    <row r="468" customFormat="false" ht="15.75" hidden="false" customHeight="false" outlineLevel="0" collapsed="false">
      <c r="A468" s="4"/>
      <c r="B468" s="3"/>
      <c r="C468" s="3"/>
    </row>
    <row r="469" customFormat="false" ht="15.75" hidden="false" customHeight="false" outlineLevel="0" collapsed="false">
      <c r="A469" s="4"/>
      <c r="B469" s="3"/>
      <c r="C469" s="3"/>
    </row>
    <row r="470" customFormat="false" ht="15.75" hidden="false" customHeight="false" outlineLevel="0" collapsed="false">
      <c r="A470" s="4"/>
      <c r="B470" s="3"/>
      <c r="C470" s="3"/>
    </row>
    <row r="471" customFormat="false" ht="15.75" hidden="false" customHeight="false" outlineLevel="0" collapsed="false">
      <c r="A471" s="4"/>
      <c r="B471" s="3"/>
      <c r="C471" s="3"/>
    </row>
    <row r="472" customFormat="false" ht="15.75" hidden="false" customHeight="false" outlineLevel="0" collapsed="false">
      <c r="A472" s="4"/>
      <c r="B472" s="3"/>
      <c r="C472" s="3"/>
    </row>
    <row r="473" customFormat="false" ht="15.75" hidden="false" customHeight="false" outlineLevel="0" collapsed="false">
      <c r="A473" s="4"/>
      <c r="B473" s="3"/>
      <c r="C473" s="3"/>
    </row>
    <row r="474" customFormat="false" ht="15.75" hidden="false" customHeight="false" outlineLevel="0" collapsed="false">
      <c r="A474" s="4"/>
      <c r="B474" s="3"/>
      <c r="C474" s="3"/>
    </row>
    <row r="475" customFormat="false" ht="15.75" hidden="false" customHeight="false" outlineLevel="0" collapsed="false">
      <c r="A475" s="4"/>
      <c r="B475" s="3"/>
      <c r="C475" s="3"/>
    </row>
    <row r="476" customFormat="false" ht="15.75" hidden="false" customHeight="false" outlineLevel="0" collapsed="false">
      <c r="A476" s="4"/>
      <c r="B476" s="3"/>
      <c r="C476" s="3"/>
    </row>
    <row r="477" customFormat="false" ht="15.75" hidden="false" customHeight="false" outlineLevel="0" collapsed="false">
      <c r="A477" s="4"/>
      <c r="B477" s="3"/>
      <c r="C477" s="3"/>
    </row>
    <row r="478" customFormat="false" ht="15.75" hidden="false" customHeight="false" outlineLevel="0" collapsed="false">
      <c r="A478" s="4"/>
      <c r="B478" s="3"/>
      <c r="C478" s="3"/>
    </row>
    <row r="479" customFormat="false" ht="15.75" hidden="false" customHeight="false" outlineLevel="0" collapsed="false">
      <c r="A479" s="4"/>
      <c r="B479" s="3"/>
      <c r="C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  <c r="C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  <c r="C488" s="3"/>
    </row>
    <row r="489" customFormat="false" ht="15.75" hidden="false" customHeight="false" outlineLevel="0" collapsed="false">
      <c r="A489" s="4"/>
      <c r="B489" s="3"/>
      <c r="C489" s="3"/>
    </row>
    <row r="490" customFormat="false" ht="15.75" hidden="false" customHeight="false" outlineLevel="0" collapsed="false">
      <c r="A490" s="4"/>
      <c r="B490" s="3"/>
      <c r="C490" s="3"/>
    </row>
    <row r="491" customFormat="false" ht="15.75" hidden="false" customHeight="false" outlineLevel="0" collapsed="false">
      <c r="A491" s="4"/>
      <c r="B491" s="3"/>
      <c r="C491" s="3"/>
    </row>
    <row r="492" customFormat="false" ht="15.75" hidden="false" customHeight="false" outlineLevel="0" collapsed="false">
      <c r="A492" s="4"/>
      <c r="B492" s="3"/>
      <c r="C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  <c r="B495" s="3"/>
      <c r="C495" s="3"/>
    </row>
    <row r="496" customFormat="false" ht="15.75" hidden="false" customHeight="false" outlineLevel="0" collapsed="false">
      <c r="A496" s="4"/>
      <c r="B496" s="3"/>
      <c r="C496" s="3"/>
    </row>
    <row r="497" customFormat="false" ht="15.75" hidden="false" customHeight="false" outlineLevel="0" collapsed="false">
      <c r="A497" s="4"/>
      <c r="B497" s="3"/>
      <c r="C497" s="3"/>
    </row>
    <row r="498" customFormat="false" ht="15.75" hidden="false" customHeight="false" outlineLevel="0" collapsed="false">
      <c r="A498" s="4"/>
      <c r="B498" s="3"/>
      <c r="C498" s="3"/>
    </row>
    <row r="499" customFormat="false" ht="15.75" hidden="false" customHeight="false" outlineLevel="0" collapsed="false">
      <c r="A499" s="4"/>
      <c r="B499" s="3"/>
      <c r="C499" s="3"/>
    </row>
    <row r="500" customFormat="false" ht="15.75" hidden="false" customHeight="false" outlineLevel="0" collapsed="false">
      <c r="A500" s="4"/>
      <c r="B500" s="3"/>
      <c r="C500" s="3"/>
    </row>
    <row r="501" customFormat="false" ht="15.75" hidden="false" customHeight="false" outlineLevel="0" collapsed="false">
      <c r="A501" s="4"/>
      <c r="B501" s="3"/>
      <c r="C501" s="3"/>
    </row>
    <row r="502" customFormat="false" ht="15.75" hidden="false" customHeight="false" outlineLevel="0" collapsed="false">
      <c r="A502" s="4"/>
      <c r="B502" s="3"/>
      <c r="C502" s="3"/>
    </row>
    <row r="503" customFormat="false" ht="15.75" hidden="false" customHeight="false" outlineLevel="0" collapsed="false">
      <c r="A503" s="4"/>
      <c r="B503" s="3"/>
      <c r="C503" s="3"/>
    </row>
    <row r="504" customFormat="false" ht="15.75" hidden="false" customHeight="false" outlineLevel="0" collapsed="false">
      <c r="A504" s="4"/>
      <c r="B504" s="3"/>
      <c r="C504" s="3"/>
    </row>
    <row r="505" customFormat="false" ht="15.75" hidden="false" customHeight="false" outlineLevel="0" collapsed="false">
      <c r="A505" s="4"/>
      <c r="B505" s="3"/>
      <c r="C505" s="3"/>
    </row>
    <row r="506" customFormat="false" ht="15.75" hidden="false" customHeight="false" outlineLevel="0" collapsed="false">
      <c r="A506" s="4"/>
      <c r="B506" s="3"/>
      <c r="C506" s="3"/>
    </row>
    <row r="507" customFormat="false" ht="15.75" hidden="false" customHeight="false" outlineLevel="0" collapsed="false">
      <c r="A507" s="4"/>
      <c r="B507" s="3"/>
      <c r="C507" s="3"/>
    </row>
    <row r="508" customFormat="false" ht="15.75" hidden="false" customHeight="false" outlineLevel="0" collapsed="false">
      <c r="A508" s="4"/>
      <c r="B508" s="3"/>
      <c r="C508" s="3"/>
    </row>
    <row r="509" customFormat="false" ht="15.75" hidden="false" customHeight="false" outlineLevel="0" collapsed="false">
      <c r="A509" s="4"/>
      <c r="B509" s="3"/>
      <c r="C509" s="3"/>
    </row>
    <row r="510" customFormat="false" ht="15.75" hidden="false" customHeight="false" outlineLevel="0" collapsed="false">
      <c r="A510" s="4"/>
      <c r="B510" s="3"/>
      <c r="C510" s="3"/>
    </row>
    <row r="511" customFormat="false" ht="15.75" hidden="false" customHeight="false" outlineLevel="0" collapsed="false">
      <c r="A511" s="4"/>
      <c r="B511" s="3"/>
      <c r="C511" s="3"/>
    </row>
    <row r="512" customFormat="false" ht="15.75" hidden="false" customHeight="false" outlineLevel="0" collapsed="false">
      <c r="A512" s="4"/>
      <c r="B512" s="3"/>
      <c r="C512" s="3"/>
    </row>
    <row r="513" customFormat="false" ht="15.75" hidden="false" customHeight="false" outlineLevel="0" collapsed="false">
      <c r="A513" s="4"/>
      <c r="B513" s="3"/>
      <c r="C513" s="3"/>
    </row>
    <row r="514" customFormat="false" ht="15.75" hidden="false" customHeight="false" outlineLevel="0" collapsed="false">
      <c r="A514" s="4"/>
      <c r="B514" s="3"/>
      <c r="C514" s="3"/>
    </row>
    <row r="515" customFormat="false" ht="15.75" hidden="false" customHeight="false" outlineLevel="0" collapsed="false">
      <c r="A515" s="4"/>
      <c r="B515" s="3"/>
      <c r="C515" s="3"/>
    </row>
    <row r="516" customFormat="false" ht="15.75" hidden="false" customHeight="false" outlineLevel="0" collapsed="false">
      <c r="A516" s="4"/>
      <c r="B516" s="3"/>
      <c r="C516" s="3"/>
    </row>
    <row r="517" customFormat="false" ht="15.75" hidden="false" customHeight="false" outlineLevel="0" collapsed="false">
      <c r="A517" s="4"/>
      <c r="B517" s="3"/>
      <c r="C517" s="3"/>
    </row>
    <row r="518" customFormat="false" ht="15.75" hidden="false" customHeight="false" outlineLevel="0" collapsed="false">
      <c r="A518" s="4"/>
      <c r="B518" s="3"/>
      <c r="C518" s="3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  <c r="B521" s="3"/>
      <c r="C521" s="3"/>
    </row>
    <row r="522" customFormat="false" ht="15.75" hidden="false" customHeight="false" outlineLevel="0" collapsed="false">
      <c r="A522" s="4"/>
      <c r="B522" s="3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  <c r="B530" s="3"/>
      <c r="C530" s="3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  <c r="C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B537" s="3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3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B550" s="3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4"/>
      <c r="B561" s="3"/>
      <c r="C561" s="3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  <c r="C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  <c r="C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  <c r="C586" s="3"/>
    </row>
    <row r="587" customFormat="false" ht="15.75" hidden="false" customHeight="false" outlineLevel="0" collapsed="false">
      <c r="A587" s="4"/>
      <c r="B587" s="3"/>
      <c r="C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  <c r="C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  <c r="C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  <c r="C597" s="3"/>
    </row>
    <row r="598" customFormat="false" ht="15.75" hidden="false" customHeight="false" outlineLevel="0" collapsed="false">
      <c r="A598" s="4"/>
      <c r="B598" s="3"/>
      <c r="C598" s="3"/>
    </row>
    <row r="599" customFormat="false" ht="15.75" hidden="false" customHeight="false" outlineLevel="0" collapsed="false">
      <c r="A599" s="4"/>
      <c r="B599" s="3"/>
      <c r="C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  <c r="C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A898" s="4"/>
      <c r="B898" s="3"/>
      <c r="C898" s="3"/>
    </row>
    <row r="899" customFormat="false" ht="15.75" hidden="false" customHeight="false" outlineLevel="0" collapsed="false">
      <c r="A899" s="4"/>
      <c r="B899" s="3"/>
      <c r="C899" s="3"/>
    </row>
    <row r="900" customFormat="false" ht="15.75" hidden="false" customHeight="false" outlineLevel="0" collapsed="false">
      <c r="A900" s="4"/>
      <c r="B900" s="3"/>
      <c r="C900" s="3"/>
    </row>
    <row r="901" customFormat="false" ht="15.75" hidden="false" customHeight="false" outlineLevel="0" collapsed="false">
      <c r="A901" s="4"/>
      <c r="B901" s="3"/>
      <c r="C901" s="3"/>
    </row>
    <row r="902" customFormat="false" ht="15.75" hidden="false" customHeight="false" outlineLevel="0" collapsed="false">
      <c r="A902" s="4"/>
      <c r="B902" s="3"/>
      <c r="C902" s="3"/>
    </row>
    <row r="903" customFormat="false" ht="15.75" hidden="false" customHeight="false" outlineLevel="0" collapsed="false">
      <c r="A903" s="4"/>
      <c r="B903" s="3"/>
      <c r="C903" s="3"/>
    </row>
    <row r="904" customFormat="false" ht="15.75" hidden="false" customHeight="false" outlineLevel="0" collapsed="false">
      <c r="A904" s="4"/>
      <c r="B904" s="3"/>
      <c r="C904" s="3"/>
    </row>
    <row r="905" customFormat="false" ht="15.75" hidden="false" customHeight="false" outlineLevel="0" collapsed="false">
      <c r="A905" s="4"/>
      <c r="B905" s="3"/>
      <c r="C905" s="3"/>
    </row>
    <row r="906" customFormat="false" ht="15.75" hidden="false" customHeight="false" outlineLevel="0" collapsed="false">
      <c r="A906" s="4"/>
      <c r="B906" s="3"/>
      <c r="C906" s="3"/>
    </row>
    <row r="907" customFormat="false" ht="15.75" hidden="false" customHeight="false" outlineLevel="0" collapsed="false">
      <c r="A907" s="4"/>
      <c r="B907" s="3"/>
      <c r="C907" s="3"/>
    </row>
    <row r="908" customFormat="false" ht="15.75" hidden="false" customHeight="false" outlineLevel="0" collapsed="false">
      <c r="A908" s="4"/>
      <c r="B908" s="3"/>
      <c r="C908" s="3"/>
    </row>
    <row r="909" customFormat="false" ht="15.75" hidden="false" customHeight="false" outlineLevel="0" collapsed="false">
      <c r="A909" s="4"/>
      <c r="B909" s="3"/>
      <c r="C909" s="3"/>
    </row>
    <row r="910" customFormat="false" ht="15.75" hidden="false" customHeight="false" outlineLevel="0" collapsed="false">
      <c r="A910" s="4"/>
      <c r="B910" s="3"/>
      <c r="C910" s="3"/>
    </row>
    <row r="911" customFormat="false" ht="15.75" hidden="false" customHeight="false" outlineLevel="0" collapsed="false">
      <c r="A911" s="4"/>
      <c r="B911" s="3"/>
      <c r="C911" s="3"/>
    </row>
    <row r="912" customFormat="false" ht="15.75" hidden="false" customHeight="false" outlineLevel="0" collapsed="false">
      <c r="A912" s="4"/>
      <c r="B912" s="3"/>
      <c r="C912" s="3"/>
    </row>
    <row r="913" customFormat="false" ht="15.75" hidden="false" customHeight="false" outlineLevel="0" collapsed="false">
      <c r="A913" s="4"/>
      <c r="B913" s="3"/>
      <c r="C913" s="3"/>
    </row>
    <row r="914" customFormat="false" ht="15.75" hidden="false" customHeight="false" outlineLevel="0" collapsed="false">
      <c r="A914" s="4"/>
      <c r="B914" s="3"/>
      <c r="C914" s="3"/>
    </row>
    <row r="915" customFormat="false" ht="15.75" hidden="false" customHeight="false" outlineLevel="0" collapsed="false">
      <c r="A915" s="4"/>
      <c r="B915" s="3"/>
      <c r="C915" s="3"/>
    </row>
    <row r="916" customFormat="false" ht="15.75" hidden="false" customHeight="false" outlineLevel="0" collapsed="false">
      <c r="A916" s="4"/>
      <c r="B916" s="3"/>
      <c r="C916" s="3"/>
    </row>
    <row r="917" customFormat="false" ht="15.75" hidden="false" customHeight="false" outlineLevel="0" collapsed="false">
      <c r="A917" s="4"/>
      <c r="B917" s="3"/>
      <c r="C917" s="3"/>
    </row>
    <row r="918" customFormat="false" ht="15.75" hidden="false" customHeight="false" outlineLevel="0" collapsed="false">
      <c r="A918" s="4"/>
      <c r="B918" s="3"/>
      <c r="C918" s="3"/>
    </row>
    <row r="919" customFormat="false" ht="15.75" hidden="false" customHeight="false" outlineLevel="0" collapsed="false">
      <c r="A919" s="4"/>
      <c r="B919" s="3"/>
      <c r="C919" s="3"/>
    </row>
    <row r="920" customFormat="false" ht="15.75" hidden="false" customHeight="false" outlineLevel="0" collapsed="false">
      <c r="A920" s="4"/>
      <c r="B920" s="3"/>
      <c r="C920" s="3"/>
    </row>
    <row r="921" customFormat="false" ht="15.75" hidden="false" customHeight="false" outlineLevel="0" collapsed="false">
      <c r="A921" s="4"/>
      <c r="B921" s="3"/>
      <c r="C921" s="3"/>
    </row>
    <row r="922" customFormat="false" ht="15.75" hidden="false" customHeight="false" outlineLevel="0" collapsed="false">
      <c r="A922" s="4"/>
      <c r="B922" s="3"/>
      <c r="C922" s="3"/>
    </row>
    <row r="923" customFormat="false" ht="15.75" hidden="false" customHeight="false" outlineLevel="0" collapsed="false">
      <c r="A923" s="4"/>
      <c r="B923" s="3"/>
      <c r="C923" s="3"/>
    </row>
    <row r="924" customFormat="false" ht="15.75" hidden="false" customHeight="false" outlineLevel="0" collapsed="false">
      <c r="A924" s="4"/>
      <c r="B924" s="3"/>
      <c r="C924" s="3"/>
    </row>
    <row r="925" customFormat="false" ht="15.75" hidden="false" customHeight="false" outlineLevel="0" collapsed="false">
      <c r="A925" s="4"/>
      <c r="B925" s="3"/>
      <c r="C925" s="3"/>
    </row>
    <row r="926" customFormat="false" ht="15.75" hidden="false" customHeight="false" outlineLevel="0" collapsed="false">
      <c r="A926" s="4"/>
      <c r="B926" s="3"/>
      <c r="C926" s="3"/>
    </row>
    <row r="927" customFormat="false" ht="15.75" hidden="false" customHeight="false" outlineLevel="0" collapsed="false">
      <c r="A927" s="4"/>
      <c r="B927" s="3"/>
      <c r="C927" s="3"/>
    </row>
    <row r="928" customFormat="false" ht="15.75" hidden="false" customHeight="false" outlineLevel="0" collapsed="false">
      <c r="A928" s="4"/>
      <c r="B928" s="3"/>
      <c r="C928" s="3"/>
    </row>
    <row r="929" customFormat="false" ht="15.75" hidden="false" customHeight="false" outlineLevel="0" collapsed="false">
      <c r="A929" s="4"/>
      <c r="B929" s="3"/>
      <c r="C929" s="3"/>
    </row>
    <row r="930" customFormat="false" ht="15.75" hidden="false" customHeight="false" outlineLevel="0" collapsed="false">
      <c r="B930" s="3"/>
      <c r="C930" s="3"/>
    </row>
    <row r="931" customFormat="false" ht="15.75" hidden="false" customHeight="false" outlineLevel="0" collapsed="false">
      <c r="B931" s="3"/>
      <c r="C931" s="3"/>
    </row>
    <row r="932" customFormat="false" ht="15.75" hidden="false" customHeight="false" outlineLevel="0" collapsed="false">
      <c r="B932" s="3"/>
      <c r="C932" s="3"/>
    </row>
    <row r="933" customFormat="false" ht="15.75" hidden="false" customHeight="false" outlineLevel="0" collapsed="false">
      <c r="B933" s="3"/>
      <c r="C933" s="3"/>
    </row>
    <row r="934" customFormat="false" ht="15.75" hidden="false" customHeight="false" outlineLevel="0" collapsed="false">
      <c r="B934" s="3"/>
      <c r="C934" s="3"/>
    </row>
    <row r="935" customFormat="false" ht="15.75" hidden="false" customHeight="false" outlineLevel="0" collapsed="false">
      <c r="B935" s="3"/>
      <c r="C935" s="3"/>
    </row>
    <row r="936" customFormat="false" ht="15.75" hidden="false" customHeight="false" outlineLevel="0" collapsed="false">
      <c r="B936" s="3"/>
      <c r="C936" s="3"/>
    </row>
    <row r="937" customFormat="false" ht="15.75" hidden="false" customHeight="false" outlineLevel="0" collapsed="false">
      <c r="B937" s="3"/>
      <c r="C937" s="3"/>
    </row>
    <row r="938" customFormat="false" ht="15.75" hidden="false" customHeight="false" outlineLevel="0" collapsed="false">
      <c r="B938" s="3"/>
      <c r="C938" s="3"/>
    </row>
    <row r="939" customFormat="false" ht="15.75" hidden="false" customHeight="false" outlineLevel="0" collapsed="false">
      <c r="B939" s="3"/>
      <c r="C939" s="3"/>
    </row>
    <row r="940" customFormat="false" ht="15.75" hidden="false" customHeight="false" outlineLevel="0" collapsed="false">
      <c r="B940" s="3"/>
      <c r="C940" s="3"/>
    </row>
    <row r="941" customFormat="false" ht="15.75" hidden="false" customHeight="false" outlineLevel="0" collapsed="false">
      <c r="B941" s="3"/>
      <c r="C941" s="3"/>
    </row>
    <row r="942" customFormat="false" ht="15.75" hidden="false" customHeight="false" outlineLevel="0" collapsed="false">
      <c r="B942" s="3"/>
      <c r="C942" s="3"/>
    </row>
    <row r="943" customFormat="false" ht="15.75" hidden="false" customHeight="false" outlineLevel="0" collapsed="false">
      <c r="B943" s="3"/>
      <c r="C943" s="3"/>
    </row>
    <row r="944" customFormat="false" ht="15.75" hidden="false" customHeight="false" outlineLevel="0" collapsed="false">
      <c r="B944" s="3"/>
      <c r="C944" s="3"/>
    </row>
    <row r="945" customFormat="false" ht="15.75" hidden="false" customHeight="false" outlineLevel="0" collapsed="false">
      <c r="B945" s="3"/>
      <c r="C945" s="3"/>
    </row>
    <row r="946" customFormat="false" ht="15.75" hidden="false" customHeight="false" outlineLevel="0" collapsed="false">
      <c r="B946" s="3"/>
      <c r="C946" s="3"/>
    </row>
    <row r="947" customFormat="false" ht="15.75" hidden="false" customHeight="false" outlineLevel="0" collapsed="false">
      <c r="B947" s="3"/>
      <c r="C947" s="3"/>
    </row>
    <row r="948" customFormat="false" ht="15.75" hidden="false" customHeight="false" outlineLevel="0" collapsed="false">
      <c r="B948" s="3"/>
      <c r="C948" s="3"/>
    </row>
    <row r="949" customFormat="false" ht="15.75" hidden="false" customHeight="false" outlineLevel="0" collapsed="false">
      <c r="B949" s="3"/>
      <c r="C949" s="3"/>
    </row>
    <row r="950" customFormat="false" ht="15.75" hidden="false" customHeight="false" outlineLevel="0" collapsed="false">
      <c r="B950" s="3"/>
      <c r="C950" s="3"/>
    </row>
    <row r="951" customFormat="false" ht="15.75" hidden="false" customHeight="false" outlineLevel="0" collapsed="false">
      <c r="B951" s="3"/>
      <c r="C951" s="3"/>
    </row>
    <row r="952" customFormat="false" ht="15.75" hidden="false" customHeight="false" outlineLevel="0" collapsed="false">
      <c r="B952" s="3"/>
      <c r="C952" s="3"/>
    </row>
    <row r="953" customFormat="false" ht="15.75" hidden="false" customHeight="false" outlineLevel="0" collapsed="false">
      <c r="B953" s="3"/>
      <c r="C953" s="3"/>
    </row>
    <row r="954" customFormat="false" ht="15.75" hidden="false" customHeight="false" outlineLevel="0" collapsed="false">
      <c r="B954" s="3"/>
      <c r="C954" s="3"/>
    </row>
    <row r="955" customFormat="false" ht="15.75" hidden="false" customHeight="false" outlineLevel="0" collapsed="false">
      <c r="B955" s="3"/>
      <c r="C955" s="3"/>
    </row>
    <row r="956" customFormat="false" ht="15.75" hidden="false" customHeight="false" outlineLevel="0" collapsed="false">
      <c r="B956" s="3"/>
      <c r="C956" s="3"/>
    </row>
    <row r="957" customFormat="false" ht="15.75" hidden="false" customHeight="false" outlineLevel="0" collapsed="false">
      <c r="B957" s="3"/>
      <c r="C957" s="3"/>
    </row>
    <row r="958" customFormat="false" ht="15.75" hidden="false" customHeight="false" outlineLevel="0" collapsed="false">
      <c r="B958" s="3"/>
      <c r="C958" s="3"/>
    </row>
    <row r="959" customFormat="false" ht="15.75" hidden="false" customHeight="false" outlineLevel="0" collapsed="false">
      <c r="B959" s="3"/>
      <c r="C959" s="3"/>
    </row>
    <row r="960" customFormat="false" ht="15.75" hidden="false" customHeight="false" outlineLevel="0" collapsed="false">
      <c r="B960" s="3"/>
      <c r="C960" s="3"/>
    </row>
    <row r="961" customFormat="false" ht="15.75" hidden="false" customHeight="false" outlineLevel="0" collapsed="false">
      <c r="B961" s="3"/>
      <c r="C961" s="3"/>
    </row>
    <row r="962" customFormat="false" ht="15.75" hidden="false" customHeight="false" outlineLevel="0" collapsed="false">
      <c r="B962" s="3"/>
      <c r="C962" s="3"/>
    </row>
    <row r="963" customFormat="false" ht="15.75" hidden="false" customHeight="false" outlineLevel="0" collapsed="false">
      <c r="B963" s="3"/>
      <c r="C963" s="3"/>
    </row>
    <row r="964" customFormat="false" ht="15.75" hidden="false" customHeight="false" outlineLevel="0" collapsed="false">
      <c r="B964" s="3"/>
      <c r="C964" s="3"/>
    </row>
    <row r="965" customFormat="false" ht="15.75" hidden="false" customHeight="false" outlineLevel="0" collapsed="false">
      <c r="B965" s="3"/>
      <c r="C965" s="3"/>
    </row>
    <row r="966" customFormat="false" ht="15.75" hidden="false" customHeight="false" outlineLevel="0" collapsed="false">
      <c r="B966" s="3"/>
      <c r="C966" s="3"/>
    </row>
    <row r="967" customFormat="false" ht="15.75" hidden="false" customHeight="false" outlineLevel="0" collapsed="false">
      <c r="B967" s="3"/>
      <c r="C967" s="3"/>
    </row>
    <row r="968" customFormat="false" ht="15.75" hidden="false" customHeight="false" outlineLevel="0" collapsed="false">
      <c r="B968" s="3"/>
      <c r="C968" s="3"/>
    </row>
    <row r="969" customFormat="false" ht="15.75" hidden="false" customHeight="false" outlineLevel="0" collapsed="false">
      <c r="B969" s="3"/>
      <c r="C969" s="3"/>
    </row>
    <row r="970" customFormat="false" ht="15.75" hidden="false" customHeight="false" outlineLevel="0" collapsed="false">
      <c r="B970" s="3"/>
      <c r="C970" s="3"/>
    </row>
    <row r="971" customFormat="false" ht="15.75" hidden="false" customHeight="false" outlineLevel="0" collapsed="false">
      <c r="B971" s="3"/>
      <c r="C971" s="3"/>
    </row>
    <row r="972" customFormat="false" ht="15.75" hidden="false" customHeight="false" outlineLevel="0" collapsed="false">
      <c r="B972" s="3"/>
      <c r="C972" s="3"/>
    </row>
    <row r="973" customFormat="false" ht="15.75" hidden="false" customHeight="false" outlineLevel="0" collapsed="false">
      <c r="B973" s="3"/>
      <c r="C973" s="3"/>
    </row>
    <row r="974" customFormat="false" ht="15.75" hidden="false" customHeight="false" outlineLevel="0" collapsed="false">
      <c r="B974" s="3"/>
      <c r="C974" s="3"/>
    </row>
    <row r="975" customFormat="false" ht="15.75" hidden="false" customHeight="false" outlineLevel="0" collapsed="false">
      <c r="B975" s="3"/>
      <c r="C975" s="3"/>
    </row>
    <row r="976" customFormat="false" ht="15.75" hidden="false" customHeight="false" outlineLevel="0" collapsed="false">
      <c r="B976" s="3"/>
      <c r="C976" s="3"/>
    </row>
    <row r="977" customFormat="false" ht="15.75" hidden="false" customHeight="false" outlineLevel="0" collapsed="false">
      <c r="B977" s="3"/>
      <c r="C977" s="3"/>
    </row>
    <row r="978" customFormat="false" ht="15.75" hidden="false" customHeight="false" outlineLevel="0" collapsed="false">
      <c r="B978" s="3"/>
      <c r="C978" s="3"/>
    </row>
    <row r="979" customFormat="false" ht="15.75" hidden="false" customHeight="false" outlineLevel="0" collapsed="false">
      <c r="B979" s="3"/>
      <c r="C979" s="3"/>
    </row>
    <row r="980" customFormat="false" ht="15.75" hidden="false" customHeight="false" outlineLevel="0" collapsed="false">
      <c r="B980" s="3"/>
      <c r="C980" s="3"/>
    </row>
    <row r="981" customFormat="false" ht="15.75" hidden="false" customHeight="false" outlineLevel="0" collapsed="false">
      <c r="B981" s="3"/>
      <c r="C981" s="3"/>
    </row>
    <row r="982" customFormat="false" ht="15.75" hidden="false" customHeight="false" outlineLevel="0" collapsed="false">
      <c r="B982" s="3"/>
      <c r="C982" s="3"/>
    </row>
    <row r="983" customFormat="false" ht="15.75" hidden="false" customHeight="false" outlineLevel="0" collapsed="false">
      <c r="B983" s="3"/>
      <c r="C983" s="3"/>
    </row>
    <row r="984" customFormat="false" ht="15.75" hidden="false" customHeight="false" outlineLevel="0" collapsed="false">
      <c r="B984" s="3"/>
      <c r="C984" s="3"/>
    </row>
    <row r="985" customFormat="false" ht="15.75" hidden="false" customHeight="false" outlineLevel="0" collapsed="false">
      <c r="B985" s="3"/>
      <c r="C985" s="3"/>
    </row>
    <row r="986" customFormat="false" ht="15.75" hidden="false" customHeight="false" outlineLevel="0" collapsed="false">
      <c r="B986" s="3"/>
      <c r="C986" s="3"/>
    </row>
    <row r="987" customFormat="false" ht="15.75" hidden="false" customHeight="false" outlineLevel="0" collapsed="false">
      <c r="B987" s="3"/>
      <c r="C987" s="3"/>
    </row>
    <row r="988" customFormat="false" ht="15.75" hidden="false" customHeight="false" outlineLevel="0" collapsed="false">
      <c r="B988" s="3"/>
      <c r="C988" s="3"/>
    </row>
    <row r="989" customFormat="false" ht="15.75" hidden="false" customHeight="false" outlineLevel="0" collapsed="false">
      <c r="B989" s="3"/>
      <c r="C989" s="3"/>
    </row>
    <row r="990" customFormat="false" ht="15.75" hidden="false" customHeight="false" outlineLevel="0" collapsed="false">
      <c r="B990" s="3"/>
      <c r="C990" s="3"/>
    </row>
    <row r="991" customFormat="false" ht="15.75" hidden="false" customHeight="false" outlineLevel="0" collapsed="false">
      <c r="B991" s="3"/>
      <c r="C991" s="3"/>
    </row>
    <row r="992" customFormat="false" ht="15.75" hidden="false" customHeight="false" outlineLevel="0" collapsed="false">
      <c r="B992" s="3"/>
      <c r="C992" s="3"/>
    </row>
    <row r="993" customFormat="false" ht="15.75" hidden="false" customHeight="false" outlineLevel="0" collapsed="false">
      <c r="B993" s="3"/>
      <c r="C993" s="3"/>
    </row>
    <row r="994" customFormat="false" ht="15.75" hidden="false" customHeight="false" outlineLevel="0" collapsed="false">
      <c r="B994" s="3"/>
      <c r="C994" s="3"/>
    </row>
    <row r="995" customFormat="false" ht="15.75" hidden="false" customHeight="false" outlineLevel="0" collapsed="false">
      <c r="B995" s="3"/>
      <c r="C995" s="3"/>
    </row>
    <row r="996" customFormat="false" ht="15.75" hidden="false" customHeight="false" outlineLevel="0" collapsed="false">
      <c r="B996" s="3"/>
      <c r="C996" s="3"/>
    </row>
    <row r="997" customFormat="false" ht="15.75" hidden="false" customHeight="false" outlineLevel="0" collapsed="false">
      <c r="B997" s="3"/>
      <c r="C997" s="3"/>
    </row>
    <row r="998" customFormat="false" ht="15.75" hidden="false" customHeight="false" outlineLevel="0" collapsed="false">
      <c r="B998" s="3"/>
      <c r="C998" s="3"/>
    </row>
    <row r="999" customFormat="false" ht="15.75" hidden="false" customHeight="false" outlineLevel="0" collapsed="false">
      <c r="B999" s="3"/>
      <c r="C999" s="3"/>
    </row>
    <row r="1000" customFormat="false" ht="15.75" hidden="false" customHeight="false" outlineLevel="0" collapsed="false">
      <c r="B1000" s="3"/>
      <c r="C1000" s="3"/>
    </row>
    <row r="1001" customFormat="false" ht="15.75" hidden="false" customHeight="false" outlineLevel="0" collapsed="false">
      <c r="B1001" s="3"/>
      <c r="C1001" s="3"/>
    </row>
    <row r="1002" customFormat="false" ht="15.75" hidden="false" customHeight="false" outlineLevel="0" collapsed="false">
      <c r="B1002" s="3"/>
      <c r="C1002" s="3"/>
    </row>
    <row r="1003" customFormat="false" ht="15.75" hidden="false" customHeight="false" outlineLevel="0" collapsed="false">
      <c r="B1003" s="3"/>
      <c r="C1003" s="3"/>
    </row>
    <row r="1004" customFormat="false" ht="15.75" hidden="false" customHeight="false" outlineLevel="0" collapsed="false">
      <c r="B1004" s="3"/>
      <c r="C1004" s="3"/>
    </row>
    <row r="1005" customFormat="false" ht="15.75" hidden="false" customHeight="false" outlineLevel="0" collapsed="false">
      <c r="B1005" s="3"/>
      <c r="C1005" s="3"/>
    </row>
    <row r="1006" customFormat="false" ht="15.75" hidden="false" customHeight="false" outlineLevel="0" collapsed="false">
      <c r="B1006" s="3"/>
      <c r="C1006" s="3"/>
    </row>
    <row r="1007" customFormat="false" ht="15.75" hidden="false" customHeight="false" outlineLevel="0" collapsed="false">
      <c r="B1007" s="3"/>
      <c r="C1007" s="3"/>
    </row>
    <row r="1008" customFormat="false" ht="15.75" hidden="false" customHeight="false" outlineLevel="0" collapsed="false">
      <c r="B1008" s="3"/>
      <c r="C1008" s="3"/>
    </row>
    <row r="1009" customFormat="false" ht="15.75" hidden="false" customHeight="false" outlineLevel="0" collapsed="false">
      <c r="B1009" s="3"/>
      <c r="C1009" s="3"/>
    </row>
    <row r="1010" customFormat="false" ht="15.75" hidden="false" customHeight="false" outlineLevel="0" collapsed="false">
      <c r="B1010" s="3"/>
      <c r="C1010" s="3"/>
    </row>
    <row r="1011" customFormat="false" ht="15.75" hidden="false" customHeight="false" outlineLevel="0" collapsed="false">
      <c r="B1011" s="3"/>
      <c r="C1011" s="3"/>
    </row>
    <row r="1012" customFormat="false" ht="15.75" hidden="false" customHeight="false" outlineLevel="0" collapsed="false">
      <c r="B1012" s="3"/>
      <c r="C1012" s="3"/>
    </row>
    <row r="1013" customFormat="false" ht="15.75" hidden="false" customHeight="false" outlineLevel="0" collapsed="false">
      <c r="B1013" s="3"/>
      <c r="C1013" s="3"/>
    </row>
    <row r="1014" customFormat="false" ht="15.75" hidden="false" customHeight="false" outlineLevel="0" collapsed="false">
      <c r="B1014" s="3"/>
      <c r="C1014" s="3"/>
    </row>
    <row r="1015" customFormat="false" ht="15.75" hidden="false" customHeight="false" outlineLevel="0" collapsed="false">
      <c r="B1015" s="3"/>
      <c r="C1015" s="3"/>
    </row>
    <row r="1016" customFormat="false" ht="15.75" hidden="false" customHeight="false" outlineLevel="0" collapsed="false">
      <c r="B1016" s="3"/>
      <c r="C1016" s="3"/>
    </row>
    <row r="1017" customFormat="false" ht="15.75" hidden="false" customHeight="false" outlineLevel="0" collapsed="false">
      <c r="B1017" s="3"/>
      <c r="C1017" s="3"/>
    </row>
    <row r="1018" customFormat="false" ht="15.75" hidden="false" customHeight="false" outlineLevel="0" collapsed="false">
      <c r="B1018" s="3"/>
      <c r="C1018" s="3"/>
    </row>
    <row r="1019" customFormat="false" ht="15.75" hidden="false" customHeight="false" outlineLevel="0" collapsed="false">
      <c r="B1019" s="3"/>
      <c r="C1019" s="3"/>
    </row>
    <row r="1020" customFormat="false" ht="15.75" hidden="false" customHeight="false" outlineLevel="0" collapsed="false">
      <c r="B1020" s="3"/>
      <c r="C1020" s="3"/>
    </row>
    <row r="1021" customFormat="false" ht="15.75" hidden="false" customHeight="false" outlineLevel="0" collapsed="false">
      <c r="B1021" s="3"/>
      <c r="C1021" s="3"/>
    </row>
    <row r="1022" customFormat="false" ht="15.75" hidden="false" customHeight="false" outlineLevel="0" collapsed="false">
      <c r="B1022" s="3"/>
      <c r="C1022" s="3"/>
    </row>
    <row r="1023" customFormat="false" ht="15.75" hidden="false" customHeight="false" outlineLevel="0" collapsed="false">
      <c r="B1023" s="3"/>
      <c r="C1023" s="3"/>
    </row>
  </sheetData>
  <conditionalFormatting sqref="C107">
    <cfRule type="expression" priority="2" aboveAverage="0" equalAverage="0" bottom="0" percent="0" rank="0" text="" dxfId="1">
      <formula>D107="YES"</formula>
    </cfRule>
  </conditionalFormatting>
  <conditionalFormatting sqref="A2:A164 A167:A929">
    <cfRule type="expression" priority="3" aboveAverage="0" equalAverage="0" bottom="0" percent="0" rank="0" text="" dxfId="2">
      <formula>COUNTIF(B2:C2,A2)=0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9.5"/>
    <col collapsed="false" customWidth="true" hidden="false" outlineLevel="0" max="2" min="2" style="0" width="7"/>
    <col collapsed="false" customWidth="true" hidden="false" outlineLevel="0" max="3" min="3" style="0" width="72.63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5.3" hidden="false" customHeight="false" outlineLevel="0" collapsed="false">
      <c r="A2" s="3" t="s">
        <v>1285</v>
      </c>
      <c r="B2" s="3" t="str">
        <f aca="false">IF(COUNTIF(Final_CB_O2_V5!$B$2:$B$535,A2)&gt;=1,"YES","NO")</f>
        <v>YES</v>
      </c>
      <c r="C2" s="3" t="s">
        <v>1285</v>
      </c>
      <c r="D2" s="3" t="str">
        <f aca="false">IF(COUNTIF(Final_CB_O2_V5!$C$2:$C$535,C2)&gt;=1,"YES","NO")</f>
        <v>YES</v>
      </c>
      <c r="F2" s="4" t="str">
        <f aca="false">IFERROR(__xludf.dummyfunction("filter(A2:A700, MATCH(A2:A700, C2:C700, FALSE))"),"blueprint -&gt; spec")</f>
        <v>blueprint -&gt; spec</v>
      </c>
      <c r="G2" s="1" t="str">
        <f aca="false">IFERROR(__xludf.dummyfunction("filter(A2:A700,iserror(MATCH(A2:A700, C2:C700, FALSE)))"),"similar--&gt; bug::to::the::studied:.bug
")</f>
        <v>similar--&gt; bug::to::the::studied:.bug
</v>
      </c>
      <c r="H2" s="4" t="str">
        <f aca="false">IFERROR(__xludf.dummyfunction("filter(C2:C700,ISERROR(MATCH(C2:C700, A2:A700, FALSE)))"),"blueprint -&gt; specification")</f>
        <v>blueprint -&gt; specification</v>
      </c>
    </row>
    <row r="3" customFormat="false" ht="15.75" hidden="false" customHeight="false" outlineLevel="0" collapsed="false">
      <c r="A3" s="3" t="s">
        <v>1286</v>
      </c>
      <c r="B3" s="3" t="str">
        <f aca="false">IF(COUNTIF(Final_CB_O2_V5!$B$2:$B$535,A3)&gt;=1,"YES","NO")</f>
        <v>YES</v>
      </c>
      <c r="C3" s="3" t="s">
        <v>1287</v>
      </c>
      <c r="D3" s="3" t="str">
        <f aca="false">IF(COUNTIF(Final_CB_O2_V5!$C$2:$C$535,C3)&gt;=1,"YES","NO")</f>
        <v>YES</v>
      </c>
      <c r="F3" s="4" t="str">
        <f aca="false">IFERROR(__xludf.dummyfunction("""COMPUTED_VALUE"""),"blueprint -&gt; wiki")</f>
        <v>blueprint -&gt; wiki</v>
      </c>
      <c r="G3" s="4"/>
      <c r="H3" s="4" t="str">
        <f aca="false">IFERROR(__xludf.dummyfunction("""COMPUTED_VALUE"""),"blueprint -&gt; wiki -&gt;meetings")</f>
        <v>blueprint -&gt; wiki -&gt;meetings</v>
      </c>
    </row>
    <row r="4" customFormat="false" ht="15.75" hidden="false" customHeight="false" outlineLevel="0" collapsed="false">
      <c r="A4" s="1" t="s">
        <v>1288</v>
      </c>
      <c r="B4" s="3" t="str">
        <f aca="false">IF(COUNTIF(Final_CB_O2_V5!$B$2:$B$535,A4)&gt;=1,"YES","NO")</f>
        <v>NO</v>
      </c>
      <c r="C4" s="3" t="s">
        <v>1286</v>
      </c>
      <c r="D4" s="3" t="str">
        <f aca="false">IF(COUNTIF(Final_CB_O2_V5!$C$2:$C$535,C4)&gt;=1,"YES","NO")</f>
        <v>YES</v>
      </c>
      <c r="G4" s="4"/>
      <c r="H4" s="4" t="str">
        <f aca="false">IFERROR(__xludf.dummyfunction("""COMPUTED_VALUE"""),"blueprint -&gt; wiki -&gt;release")</f>
        <v>blueprint -&gt; wiki -&gt;release</v>
      </c>
    </row>
    <row r="5" customFormat="false" ht="15.75" hidden="false" customHeight="false" outlineLevel="0" collapsed="false">
      <c r="B5" s="3" t="str">
        <f aca="false">IF(COUNTIF(Final_CB_O2_V5!$B$2:$B$535,A5)&gt;=1,"YES","NO")</f>
        <v>NO</v>
      </c>
      <c r="C5" s="3" t="s">
        <v>1289</v>
      </c>
      <c r="D5" s="3" t="str">
        <f aca="false">IF(COUNTIF(Final_CB_O2_V5!$C$2:$C$535,C5)&gt;=1,"YES","NO")</f>
        <v>YES</v>
      </c>
      <c r="G5" s="4"/>
      <c r="H5" s="4" t="str">
        <f aca="false">IFERROR(__xludf.dummyfunction("""COMPUTED_VALUE"""),"blueprint -&gt; word")</f>
        <v>blueprint -&gt; word</v>
      </c>
    </row>
    <row r="6" customFormat="false" ht="15.75" hidden="false" customHeight="false" outlineLevel="0" collapsed="false">
      <c r="B6" s="3" t="str">
        <f aca="false">IF(COUNTIF(Final_CB_O2_V5!$B$2:$B$535,A6)&gt;=1,"YES","NO")</f>
        <v>NO</v>
      </c>
      <c r="C6" s="3" t="s">
        <v>1290</v>
      </c>
      <c r="D6" s="3" t="str">
        <f aca="false">IF(COUNTIF(Final_CB_O2_V5!$C$2:$C$535,C6)&gt;=1,"YES","NO")</f>
        <v>YES</v>
      </c>
      <c r="G6" s="4"/>
      <c r="H6" s="4" t="str">
        <f aca="false">IFERROR(__xludf.dummyfunction("""COMPUTED_VALUE"""),"similar--&gt; bug::to::the::studied:.bug")</f>
        <v>similar--&gt; bug::to::the::studied:.bug</v>
      </c>
    </row>
    <row r="7" customFormat="false" ht="15.75" hidden="false" customHeight="false" outlineLevel="0" collapsed="false">
      <c r="B7" s="3" t="str">
        <f aca="false">IF(COUNTIF(Final_CB_O2_V5!$B$2:$B$535,A7)&gt;=1,"YES","NO")</f>
        <v>NO</v>
      </c>
      <c r="C7" s="3" t="s">
        <v>1291</v>
      </c>
      <c r="D7" s="3" t="str">
        <f aca="false">IF(COUNTIF(Final_CB_O2_V5!$C$2:$C$535,C7)&gt;=1,"YES","NO")</f>
        <v>YES</v>
      </c>
      <c r="G7" s="4"/>
      <c r="H7" s="4"/>
    </row>
    <row r="8" customFormat="false" ht="15.75" hidden="false" customHeight="false" outlineLevel="0" collapsed="false">
      <c r="B8" s="3" t="str">
        <f aca="false">IF(COUNTIF(Final_CB_O2_V5!$B$2:$B$535,A8)&gt;=1,"YES","NO")</f>
        <v>NO</v>
      </c>
      <c r="C8" s="3" t="s">
        <v>1292</v>
      </c>
      <c r="D8" s="3" t="str">
        <f aca="false">IF(COUNTIF(Final_CB_O2_V5!$C$2:$C$535,C8)&gt;=1,"YES","NO")</f>
        <v>YES</v>
      </c>
      <c r="G8" s="4"/>
      <c r="H8" s="4"/>
    </row>
    <row r="9" customFormat="false" ht="15.75" hidden="false" customHeight="false" outlineLevel="0" collapsed="false">
      <c r="B9" s="3" t="str">
        <f aca="false">IF(COUNTIF(Final_CB_O2_V5!$B$2:$B$535,A9)&gt;=1,"YES","NO")</f>
        <v>NO</v>
      </c>
      <c r="D9" s="3" t="str">
        <f aca="false">IF(COUNTIF(Final_CB_O2_V5!$C$2:$C$535,C9)&gt;=1,"YES","NO")</f>
        <v>NO</v>
      </c>
      <c r="G9" s="4"/>
      <c r="H9" s="4"/>
    </row>
    <row r="10" customFormat="false" ht="15.75" hidden="false" customHeight="false" outlineLevel="0" collapsed="false">
      <c r="B10" s="3" t="str">
        <f aca="false">IF(COUNTIF(Final_CB_O2_V5!$B$2:$B$535,A10)&gt;=1,"YES","NO")</f>
        <v>NO</v>
      </c>
      <c r="D10" s="3" t="str">
        <f aca="false">IF(COUNTIF(Final_CB_O2_V5!$C$2:$C$535,C10)&gt;=1,"YES","NO")</f>
        <v>NO</v>
      </c>
      <c r="G10" s="4"/>
      <c r="H10" s="4"/>
    </row>
    <row r="11" customFormat="false" ht="15.75" hidden="false" customHeight="false" outlineLevel="0" collapsed="false">
      <c r="B11" s="3" t="str">
        <f aca="false">IF(COUNTIF(Final_CB_O2_V5!$B$2:$B$535,A11)&gt;=1,"YES","NO")</f>
        <v>NO</v>
      </c>
      <c r="D11" s="3" t="str">
        <f aca="false">IF(COUNTIF(Final_CB_O2_V5!$C$2:$C$535,C11)&gt;=1,"YES","NO")</f>
        <v>NO</v>
      </c>
      <c r="G11" s="4"/>
      <c r="H11" s="4"/>
    </row>
    <row r="12" customFormat="false" ht="15.75" hidden="false" customHeight="false" outlineLevel="0" collapsed="false">
      <c r="B12" s="3" t="str">
        <f aca="false">IF(COUNTIF(Final_CB_O2_V5!$B$2:$B$535,A12)&gt;=1,"YES","NO")</f>
        <v>NO</v>
      </c>
      <c r="D12" s="3" t="str">
        <f aca="false">IF(COUNTIF(Final_CB_O2_V5!$C$2:$C$535,C12)&gt;=1,"YES","NO")</f>
        <v>NO</v>
      </c>
      <c r="G12" s="4"/>
      <c r="H12" s="4"/>
    </row>
    <row r="13" customFormat="false" ht="15.75" hidden="false" customHeight="false" outlineLevel="0" collapsed="false">
      <c r="B13" s="3" t="str">
        <f aca="false">IF(COUNTIF(Final_CB_O2_V5!$B$2:$B$535,A13)&gt;=1,"YES","NO")</f>
        <v>NO</v>
      </c>
      <c r="D13" s="3" t="str">
        <f aca="false">IF(COUNTIF(Final_CB_O2_V5!$C$2:$C$535,C13)&gt;=1,"YES","NO")</f>
        <v>NO</v>
      </c>
      <c r="G13" s="4"/>
      <c r="H13" s="4"/>
    </row>
    <row r="14" customFormat="false" ht="15.75" hidden="false" customHeight="false" outlineLevel="0" collapsed="false">
      <c r="B14" s="3" t="str">
        <f aca="false">IF(COUNTIF(Final_CB_O2_V5!$B$2:$B$535,A14)&gt;=1,"YES","NO")</f>
        <v>NO</v>
      </c>
      <c r="D14" s="3" t="str">
        <f aca="false">IF(COUNTIF(Final_CB_O2_V5!$C$2:$C$535,C14)&gt;=1,"YES","NO")</f>
        <v>NO</v>
      </c>
      <c r="G14" s="4"/>
      <c r="H14" s="4"/>
    </row>
    <row r="15" customFormat="false" ht="15.75" hidden="false" customHeight="false" outlineLevel="0" collapsed="false">
      <c r="B15" s="3" t="str">
        <f aca="false">IF(COUNTIF(Final_CB_O2_V5!$B$2:$B$535,A15)&gt;=1,"YES","NO")</f>
        <v>NO</v>
      </c>
      <c r="D15" s="3" t="str">
        <f aca="false">IF(COUNTIF(Final_CB_O2_V5!$C$2:$C$535,C15)&gt;=1,"YES","NO")</f>
        <v>NO</v>
      </c>
      <c r="G15" s="4"/>
      <c r="H15" s="4"/>
    </row>
    <row r="16" customFormat="false" ht="15.75" hidden="false" customHeight="false" outlineLevel="0" collapsed="false">
      <c r="B16" s="3" t="str">
        <f aca="false">IF(COUNTIF(Final_CB_O2_V5!$B$2:$B$535,A16)&gt;=1,"YES","NO")</f>
        <v>NO</v>
      </c>
      <c r="D16" s="3" t="str">
        <f aca="false">IF(COUNTIF(Final_CB_O2_V5!$C$2:$C$535,C16)&gt;=1,"YES","NO")</f>
        <v>NO</v>
      </c>
      <c r="G16" s="4"/>
      <c r="H16" s="4"/>
    </row>
    <row r="17" customFormat="false" ht="15.75" hidden="false" customHeight="false" outlineLevel="0" collapsed="false">
      <c r="B17" s="3" t="str">
        <f aca="false">IF(COUNTIF(Final_CB_O2_V5!$B$2:$B$535,A17)&gt;=1,"YES","NO")</f>
        <v>NO</v>
      </c>
      <c r="D17" s="3" t="str">
        <f aca="false">IF(COUNTIF(Final_CB_O2_V5!$C$2:$C$535,C17)&gt;=1,"YES","NO")</f>
        <v>NO</v>
      </c>
      <c r="G17" s="4"/>
      <c r="H17" s="4"/>
    </row>
    <row r="18" customFormat="false" ht="15.75" hidden="false" customHeight="false" outlineLevel="0" collapsed="false">
      <c r="B18" s="3" t="str">
        <f aca="false">IF(COUNTIF(Final_CB_O2_V5!$B$2:$B$535,A18)&gt;=1,"YES","NO")</f>
        <v>NO</v>
      </c>
      <c r="D18" s="3" t="str">
        <f aca="false">IF(COUNTIF(Final_CB_O2_V5!$C$2:$C$535,C18)&gt;=1,"YES","NO")</f>
        <v>NO</v>
      </c>
      <c r="G18" s="4"/>
      <c r="H18" s="4"/>
    </row>
    <row r="19" customFormat="false" ht="15.75" hidden="false" customHeight="false" outlineLevel="0" collapsed="false">
      <c r="B19" s="3" t="str">
        <f aca="false">IF(COUNTIF(Final_CB_O2_V5!$B$2:$B$535,A19)&gt;=1,"YES","NO")</f>
        <v>NO</v>
      </c>
      <c r="D19" s="3" t="str">
        <f aca="false">IF(COUNTIF(Final_CB_O2_V5!$C$2:$C$535,C19)&gt;=1,"YES","NO")</f>
        <v>NO</v>
      </c>
      <c r="G19" s="4"/>
      <c r="H19" s="4"/>
    </row>
    <row r="20" customFormat="false" ht="15.75" hidden="false" customHeight="false" outlineLevel="0" collapsed="false">
      <c r="B20" s="3" t="str">
        <f aca="false">IF(COUNTIF(Final_CB_O2_V5!$B$2:$B$535,A20)&gt;=1,"YES","NO")</f>
        <v>NO</v>
      </c>
      <c r="D20" s="3" t="str">
        <f aca="false">IF(COUNTIF(Final_CB_O2_V5!$C$2:$C$535,C20)&gt;=1,"YES","NO")</f>
        <v>NO</v>
      </c>
      <c r="G20" s="4"/>
      <c r="H20" s="4"/>
    </row>
    <row r="21" customFormat="false" ht="15.75" hidden="false" customHeight="false" outlineLevel="0" collapsed="false">
      <c r="B21" s="3" t="str">
        <f aca="false">IF(COUNTIF(Final_CB_O2_V5!$B$2:$B$535,A21)&gt;=1,"YES","NO")</f>
        <v>NO</v>
      </c>
      <c r="D21" s="3" t="str">
        <f aca="false">IF(COUNTIF(Final_CB_O2_V5!$C$2:$C$535,C21)&gt;=1,"YES","NO")</f>
        <v>NO</v>
      </c>
      <c r="G21" s="4"/>
      <c r="H21" s="4"/>
    </row>
    <row r="22" customFormat="false" ht="15.75" hidden="false" customHeight="false" outlineLevel="0" collapsed="false">
      <c r="B22" s="3" t="str">
        <f aca="false">IF(COUNTIF(Final_CB_O2_V5!$B$2:$B$535,A22)&gt;=1,"YES","NO")</f>
        <v>NO</v>
      </c>
      <c r="D22" s="3" t="str">
        <f aca="false">IF(COUNTIF(Final_CB_O2_V5!$C$2:$C$535,C22)&gt;=1,"YES","NO")</f>
        <v>NO</v>
      </c>
      <c r="G22" s="4"/>
      <c r="H22" s="4"/>
    </row>
    <row r="23" customFormat="false" ht="15.75" hidden="false" customHeight="false" outlineLevel="0" collapsed="false">
      <c r="B23" s="3" t="str">
        <f aca="false">IF(COUNTIF(Final_CB_O2_V5!$B$2:$B$535,A23)&gt;=1,"YES","NO")</f>
        <v>NO</v>
      </c>
      <c r="D23" s="3" t="str">
        <f aca="false">IF(COUNTIF(Final_CB_O2_V5!$C$2:$C$535,C23)&gt;=1,"YES","NO")</f>
        <v>NO</v>
      </c>
      <c r="G23" s="4"/>
      <c r="H23" s="4"/>
    </row>
    <row r="24" customFormat="false" ht="15.75" hidden="false" customHeight="false" outlineLevel="0" collapsed="false">
      <c r="B24" s="3" t="str">
        <f aca="false">IF(COUNTIF(Final_CB_O2_V5!$B$2:$B$535,A24)&gt;=1,"YES","NO")</f>
        <v>NO</v>
      </c>
      <c r="D24" s="3" t="str">
        <f aca="false">IF(COUNTIF(Final_CB_O2_V5!$C$2:$C$535,C24)&gt;=1,"YES","NO")</f>
        <v>NO</v>
      </c>
      <c r="G24" s="4"/>
      <c r="H24" s="4"/>
    </row>
    <row r="25" customFormat="false" ht="15.75" hidden="false" customHeight="false" outlineLevel="0" collapsed="false">
      <c r="B25" s="3" t="str">
        <f aca="false">IF(COUNTIF(Final_CB_O2_V5!$B$2:$B$535,A25)&gt;=1,"YES","NO")</f>
        <v>NO</v>
      </c>
      <c r="D25" s="3" t="str">
        <f aca="false">IF(COUNTIF(Final_CB_O2_V5!$C$2:$C$535,C25)&gt;=1,"YES","NO")</f>
        <v>NO</v>
      </c>
      <c r="G25" s="4"/>
      <c r="H25" s="4"/>
    </row>
    <row r="26" customFormat="false" ht="15.75" hidden="false" customHeight="false" outlineLevel="0" collapsed="false">
      <c r="B26" s="3" t="str">
        <f aca="false">IF(COUNTIF(Final_CB_O2_V5!$B$2:$B$535,A26)&gt;=1,"YES","NO")</f>
        <v>NO</v>
      </c>
      <c r="D26" s="3" t="str">
        <f aca="false">IF(COUNTIF(Final_CB_O2_V5!$C$2:$C$535,C26)&gt;=1,"YES","NO")</f>
        <v>NO</v>
      </c>
      <c r="G26" s="4"/>
      <c r="H26" s="4"/>
    </row>
    <row r="27" customFormat="false" ht="15.75" hidden="false" customHeight="false" outlineLevel="0" collapsed="false">
      <c r="B27" s="3" t="str">
        <f aca="false">IF(COUNTIF(Final_CB_O2_V5!$B$2:$B$535,A27)&gt;=1,"YES","NO")</f>
        <v>NO</v>
      </c>
      <c r="D27" s="3" t="str">
        <f aca="false">IF(COUNTIF(Final_CB_O2_V5!$C$2:$C$535,C27)&gt;=1,"YES","NO")</f>
        <v>NO</v>
      </c>
      <c r="G27" s="4"/>
      <c r="H27" s="4"/>
    </row>
    <row r="28" customFormat="false" ht="15.75" hidden="false" customHeight="false" outlineLevel="0" collapsed="false">
      <c r="B28" s="3" t="str">
        <f aca="false">IF(COUNTIF(Final_CB_O2_V5!$B$2:$B$535,A28)&gt;=1,"YES","NO")</f>
        <v>NO</v>
      </c>
      <c r="D28" s="3" t="str">
        <f aca="false">IF(COUNTIF(Final_CB_O2_V5!$C$2:$C$535,C28)&gt;=1,"YES","NO")</f>
        <v>NO</v>
      </c>
      <c r="G28" s="4"/>
      <c r="H28" s="4"/>
    </row>
    <row r="29" customFormat="false" ht="15.75" hidden="false" customHeight="false" outlineLevel="0" collapsed="false">
      <c r="B29" s="3" t="str">
        <f aca="false">IF(COUNTIF(Final_CB_O2_V5!$B$2:$B$535,A29)&gt;=1,"YES","NO")</f>
        <v>NO</v>
      </c>
      <c r="D29" s="3" t="str">
        <f aca="false">IF(COUNTIF(Final_CB_O2_V5!$C$2:$C$535,C29)&gt;=1,"YES","NO")</f>
        <v>NO</v>
      </c>
      <c r="G29" s="4"/>
      <c r="H29" s="4"/>
    </row>
    <row r="30" customFormat="false" ht="15.75" hidden="false" customHeight="false" outlineLevel="0" collapsed="false">
      <c r="B30" s="3" t="str">
        <f aca="false">IF(COUNTIF(Final_CB_O2_V5!$B$2:$B$535,A30)&gt;=1,"YES","NO")</f>
        <v>NO</v>
      </c>
      <c r="D30" s="3" t="str">
        <f aca="false">IF(COUNTIF(Final_CB_O2_V5!$C$2:$C$535,C30)&gt;=1,"YES","NO")</f>
        <v>NO</v>
      </c>
      <c r="G30" s="4"/>
      <c r="H30" s="4"/>
    </row>
    <row r="31" customFormat="false" ht="15.75" hidden="false" customHeight="false" outlineLevel="0" collapsed="false">
      <c r="B31" s="3" t="str">
        <f aca="false">IF(COUNTIF(Final_CB_O2_V5!$B$2:$B$535,A31)&gt;=1,"YES","NO")</f>
        <v>NO</v>
      </c>
      <c r="D31" s="3" t="str">
        <f aca="false">IF(COUNTIF(Final_CB_O2_V5!$C$2:$C$535,C31)&gt;=1,"YES","NO")</f>
        <v>NO</v>
      </c>
      <c r="G31" s="4"/>
      <c r="H31" s="4"/>
    </row>
    <row r="32" customFormat="false" ht="15.75" hidden="false" customHeight="false" outlineLevel="0" collapsed="false">
      <c r="B32" s="3" t="str">
        <f aca="false">IF(COUNTIF(Final_CB_O2_V5!$B$2:$B$535,A32)&gt;=1,"YES","NO")</f>
        <v>NO</v>
      </c>
      <c r="D32" s="3" t="str">
        <f aca="false">IF(COUNTIF(Final_CB_O2_V5!$C$2:$C$535,C32)&gt;=1,"YES","NO")</f>
        <v>NO</v>
      </c>
      <c r="G32" s="4"/>
      <c r="H32" s="4"/>
    </row>
    <row r="33" customFormat="false" ht="15.75" hidden="false" customHeight="false" outlineLevel="0" collapsed="false">
      <c r="B33" s="3" t="str">
        <f aca="false">IF(COUNTIF(Final_CB_O2_V5!$B$2:$B$535,A33)&gt;=1,"YES","NO")</f>
        <v>NO</v>
      </c>
      <c r="D33" s="3" t="str">
        <f aca="false">IF(COUNTIF(Final_CB_O2_V5!$C$2:$C$535,C33)&gt;=1,"YES","NO")</f>
        <v>NO</v>
      </c>
      <c r="G33" s="4"/>
      <c r="H33" s="4"/>
    </row>
    <row r="34" customFormat="false" ht="15.75" hidden="false" customHeight="false" outlineLevel="0" collapsed="false">
      <c r="B34" s="3" t="str">
        <f aca="false">IF(COUNTIF(Final_CB_O2_V5!$B$2:$B$535,A34)&gt;=1,"YES","NO")</f>
        <v>NO</v>
      </c>
      <c r="D34" s="3" t="str">
        <f aca="false">IF(COUNTIF(Final_CB_O2_V5!$C$2:$C$535,C34)&gt;=1,"YES","NO")</f>
        <v>NO</v>
      </c>
      <c r="G34" s="4"/>
      <c r="H34" s="4"/>
    </row>
    <row r="35" customFormat="false" ht="15.75" hidden="false" customHeight="false" outlineLevel="0" collapsed="false">
      <c r="B35" s="3" t="str">
        <f aca="false">IF(COUNTIF(Final_CB_O2_V5!$B$2:$B$535,A35)&gt;=1,"YES","NO")</f>
        <v>NO</v>
      </c>
      <c r="D35" s="3" t="str">
        <f aca="false">IF(COUNTIF(Final_CB_O2_V5!$C$2:$C$535,C35)&gt;=1,"YES","NO")</f>
        <v>NO</v>
      </c>
      <c r="G35" s="4"/>
      <c r="H35" s="4"/>
    </row>
    <row r="36" customFormat="false" ht="15.75" hidden="false" customHeight="false" outlineLevel="0" collapsed="false">
      <c r="B36" s="3" t="str">
        <f aca="false">IF(COUNTIF(Final_CB_O2_V5!$B$2:$B$535,A36)&gt;=1,"YES","NO")</f>
        <v>NO</v>
      </c>
      <c r="D36" s="3" t="str">
        <f aca="false">IF(COUNTIF(Final_CB_O2_V5!$C$2:$C$535,C36)&gt;=1,"YES","NO")</f>
        <v>NO</v>
      </c>
      <c r="G36" s="4"/>
      <c r="H36" s="4"/>
    </row>
    <row r="37" customFormat="false" ht="15.75" hidden="false" customHeight="false" outlineLevel="0" collapsed="false">
      <c r="B37" s="3" t="str">
        <f aca="false">IF(COUNTIF(Final_CB_O2_V5!$B$2:$B$535,A37)&gt;=1,"YES","NO")</f>
        <v>NO</v>
      </c>
      <c r="D37" s="3" t="str">
        <f aca="false">IF(COUNTIF(Final_CB_O2_V5!$C$2:$C$535,C37)&gt;=1,"YES","NO")</f>
        <v>NO</v>
      </c>
      <c r="G37" s="4"/>
      <c r="H37" s="4"/>
    </row>
    <row r="38" customFormat="false" ht="15.75" hidden="false" customHeight="false" outlineLevel="0" collapsed="false">
      <c r="B38" s="3" t="str">
        <f aca="false">IF(COUNTIF(Final_CB_O2_V5!$B$2:$B$535,A38)&gt;=1,"YES","NO")</f>
        <v>NO</v>
      </c>
      <c r="D38" s="3" t="str">
        <f aca="false">IF(COUNTIF(Final_CB_O2_V5!$C$2:$C$535,C38)&gt;=1,"YES","NO")</f>
        <v>NO</v>
      </c>
      <c r="G38" s="4"/>
      <c r="H38" s="4"/>
    </row>
    <row r="39" customFormat="false" ht="15.75" hidden="false" customHeight="false" outlineLevel="0" collapsed="false">
      <c r="B39" s="3" t="str">
        <f aca="false">IF(COUNTIF(Final_CB_O2_V5!$B$2:$B$535,A39)&gt;=1,"YES","NO")</f>
        <v>NO</v>
      </c>
      <c r="D39" s="3" t="str">
        <f aca="false">IF(COUNTIF(Final_CB_O2_V5!$C$2:$C$535,C39)&gt;=1,"YES","NO")</f>
        <v>NO</v>
      </c>
      <c r="G39" s="4"/>
      <c r="H39" s="4"/>
    </row>
    <row r="40" customFormat="false" ht="15.75" hidden="false" customHeight="false" outlineLevel="0" collapsed="false">
      <c r="B40" s="3" t="str">
        <f aca="false">IF(COUNTIF(Final_CB_O2_V5!$B$2:$B$535,A40)&gt;=1,"YES","NO")</f>
        <v>NO</v>
      </c>
      <c r="D40" s="3" t="str">
        <f aca="false">IF(COUNTIF(Final_CB_O2_V5!$C$2:$C$535,C40)&gt;=1,"YES","NO")</f>
        <v>NO</v>
      </c>
      <c r="G40" s="4"/>
      <c r="H40" s="4"/>
    </row>
    <row r="41" customFormat="false" ht="15.75" hidden="false" customHeight="false" outlineLevel="0" collapsed="false">
      <c r="B41" s="3" t="str">
        <f aca="false">IF(COUNTIF(Final_CB_O2_V5!$B$2:$B$535,A41)&gt;=1,"YES","NO")</f>
        <v>NO</v>
      </c>
      <c r="D41" s="3" t="str">
        <f aca="false">IF(COUNTIF(Final_CB_O2_V5!$C$2:$C$535,C41)&gt;=1,"YES","NO")</f>
        <v>NO</v>
      </c>
      <c r="G41" s="4"/>
      <c r="H41" s="4"/>
    </row>
    <row r="42" customFormat="false" ht="15.75" hidden="false" customHeight="false" outlineLevel="0" collapsed="false">
      <c r="B42" s="3" t="str">
        <f aca="false">IF(COUNTIF(Final_CB_O2_V5!$B$2:$B$535,A42)&gt;=1,"YES","NO")</f>
        <v>NO</v>
      </c>
      <c r="D42" s="3" t="str">
        <f aca="false">IF(COUNTIF(Final_CB_O2_V5!$C$2:$C$535,C42)&gt;=1,"YES","NO")</f>
        <v>NO</v>
      </c>
      <c r="G42" s="4"/>
      <c r="H42" s="4"/>
    </row>
    <row r="43" customFormat="false" ht="15.75" hidden="false" customHeight="false" outlineLevel="0" collapsed="false">
      <c r="B43" s="3" t="str">
        <f aca="false">IF(COUNTIF(Final_CB_O2_V5!$B$2:$B$535,A43)&gt;=1,"YES","NO")</f>
        <v>NO</v>
      </c>
      <c r="D43" s="3" t="str">
        <f aca="false">IF(COUNTIF(Final_CB_O2_V5!$C$2:$C$535,C43)&gt;=1,"YES","NO")</f>
        <v>NO</v>
      </c>
      <c r="G43" s="4"/>
      <c r="H43" s="4"/>
    </row>
    <row r="44" customFormat="false" ht="15.75" hidden="false" customHeight="false" outlineLevel="0" collapsed="false">
      <c r="B44" s="3" t="str">
        <f aca="false">IF(COUNTIF(Final_CB_O2_V5!$B$2:$B$535,A44)&gt;=1,"YES","NO")</f>
        <v>NO</v>
      </c>
      <c r="D44" s="3" t="str">
        <f aca="false">IF(COUNTIF(Final_CB_O2_V5!$C$2:$C$535,C44)&gt;=1,"YES","NO")</f>
        <v>NO</v>
      </c>
      <c r="G44" s="4"/>
      <c r="H44" s="4"/>
    </row>
    <row r="45" customFormat="false" ht="15.75" hidden="false" customHeight="false" outlineLevel="0" collapsed="false">
      <c r="B45" s="3" t="str">
        <f aca="false">IF(COUNTIF(Final_CB_O2_V5!$B$2:$B$535,A45)&gt;=1,"YES","NO")</f>
        <v>NO</v>
      </c>
      <c r="D45" s="3" t="str">
        <f aca="false">IF(COUNTIF(Final_CB_O2_V5!$C$2:$C$535,C45)&gt;=1,"YES","NO")</f>
        <v>NO</v>
      </c>
      <c r="G45" s="4"/>
      <c r="H45" s="4"/>
    </row>
    <row r="46" customFormat="false" ht="15.75" hidden="false" customHeight="false" outlineLevel="0" collapsed="false">
      <c r="B46" s="3" t="str">
        <f aca="false">IF(COUNTIF(Final_CB_O2_V5!$B$2:$B$535,A46)&gt;=1,"YES","NO")</f>
        <v>NO</v>
      </c>
      <c r="D46" s="3" t="str">
        <f aca="false">IF(COUNTIF(Final_CB_O2_V5!$C$2:$C$535,C46)&gt;=1,"YES","NO")</f>
        <v>NO</v>
      </c>
      <c r="G46" s="4"/>
      <c r="H46" s="4"/>
    </row>
    <row r="47" customFormat="false" ht="15.75" hidden="false" customHeight="false" outlineLevel="0" collapsed="false">
      <c r="B47" s="3" t="str">
        <f aca="false">IF(COUNTIF(Final_CB_O2_V5!$B$2:$B$535,A47)&gt;=1,"YES","NO")</f>
        <v>NO</v>
      </c>
      <c r="D47" s="3" t="str">
        <f aca="false">IF(COUNTIF(Final_CB_O2_V5!$C$2:$C$535,C47)&gt;=1,"YES","NO")</f>
        <v>NO</v>
      </c>
      <c r="G47" s="4"/>
      <c r="H47" s="4"/>
    </row>
    <row r="48" customFormat="false" ht="15.75" hidden="false" customHeight="false" outlineLevel="0" collapsed="false">
      <c r="B48" s="3" t="str">
        <f aca="false">IF(COUNTIF(Final_CB_O2_V5!$B$2:$B$535,A48)&gt;=1,"YES","NO")</f>
        <v>NO</v>
      </c>
      <c r="D48" s="3" t="str">
        <f aca="false">IF(COUNTIF(Final_CB_O2_V5!$C$2:$C$535,C48)&gt;=1,"YES","NO")</f>
        <v>NO</v>
      </c>
      <c r="G48" s="4"/>
      <c r="H48" s="4"/>
    </row>
    <row r="49" customFormat="false" ht="15.75" hidden="false" customHeight="false" outlineLevel="0" collapsed="false">
      <c r="B49" s="3" t="str">
        <f aca="false">IF(COUNTIF(Final_CB_O2_V5!$B$2:$B$535,A49)&gt;=1,"YES","NO")</f>
        <v>NO</v>
      </c>
      <c r="D49" s="3" t="str">
        <f aca="false">IF(COUNTIF(Final_CB_O2_V5!$C$2:$C$535,C49)&gt;=1,"YES","NO")</f>
        <v>NO</v>
      </c>
      <c r="G49" s="4"/>
      <c r="H49" s="4"/>
    </row>
    <row r="50" customFormat="false" ht="15.75" hidden="false" customHeight="false" outlineLevel="0" collapsed="false">
      <c r="B50" s="3" t="str">
        <f aca="false">IF(COUNTIF(Final_CB_O2_V5!$B$2:$B$535,A50)&gt;=1,"YES","NO")</f>
        <v>NO</v>
      </c>
      <c r="D50" s="3" t="str">
        <f aca="false">IF(COUNTIF(Final_CB_O2_V5!$C$2:$C$535,C50)&gt;=1,"YES","NO")</f>
        <v>NO</v>
      </c>
      <c r="G50" s="4"/>
      <c r="H50" s="4"/>
    </row>
    <row r="51" customFormat="false" ht="15.75" hidden="false" customHeight="false" outlineLevel="0" collapsed="false">
      <c r="B51" s="3" t="str">
        <f aca="false">IF(COUNTIF(Final_CB_O2_V5!$B$2:$B$535,A51)&gt;=1,"YES","NO")</f>
        <v>NO</v>
      </c>
      <c r="D51" s="3" t="str">
        <f aca="false">IF(COUNTIF(Final_CB_O2_V5!$C$2:$C$535,C51)&gt;=1,"YES","NO")</f>
        <v>NO</v>
      </c>
      <c r="G51" s="4"/>
      <c r="H51" s="4"/>
    </row>
    <row r="52" customFormat="false" ht="15.75" hidden="false" customHeight="false" outlineLevel="0" collapsed="false">
      <c r="B52" s="3" t="str">
        <f aca="false">IF(COUNTIF(Final_CB_O2_V5!$B$2:$B$535,A52)&gt;=1,"YES","NO")</f>
        <v>NO</v>
      </c>
      <c r="D52" s="3" t="str">
        <f aca="false">IF(COUNTIF(Final_CB_O2_V5!$C$2:$C$535,C52)&gt;=1,"YES","NO")</f>
        <v>NO</v>
      </c>
      <c r="G52" s="4"/>
      <c r="H52" s="4"/>
    </row>
    <row r="53" customFormat="false" ht="15.75" hidden="false" customHeight="false" outlineLevel="0" collapsed="false">
      <c r="B53" s="3" t="str">
        <f aca="false">IF(COUNTIF(Final_CB_O2_V5!$B$2:$B$535,A53)&gt;=1,"YES","NO")</f>
        <v>NO</v>
      </c>
      <c r="D53" s="3" t="str">
        <f aca="false">IF(COUNTIF(Final_CB_O2_V5!$C$2:$C$535,C53)&gt;=1,"YES","NO")</f>
        <v>NO</v>
      </c>
      <c r="G53" s="4"/>
      <c r="H53" s="4"/>
    </row>
    <row r="54" customFormat="false" ht="15.75" hidden="false" customHeight="false" outlineLevel="0" collapsed="false">
      <c r="B54" s="3" t="str">
        <f aca="false">IF(COUNTIF(Final_CB_O2_V5!$B$2:$B$535,A54)&gt;=1,"YES","NO")</f>
        <v>NO</v>
      </c>
      <c r="D54" s="3" t="str">
        <f aca="false">IF(COUNTIF(Final_CB_O2_V5!$C$2:$C$535,C54)&gt;=1,"YES","NO")</f>
        <v>NO</v>
      </c>
      <c r="G54" s="4"/>
      <c r="H54" s="4"/>
    </row>
    <row r="55" customFormat="false" ht="15.75" hidden="false" customHeight="false" outlineLevel="0" collapsed="false">
      <c r="B55" s="3" t="str">
        <f aca="false">IF(COUNTIF(Final_CB_O2_V5!$B$2:$B$535,A55)&gt;=1,"YES","NO")</f>
        <v>NO</v>
      </c>
      <c r="D55" s="3" t="str">
        <f aca="false">IF(COUNTIF(Final_CB_O2_V5!$C$2:$C$535,C55)&gt;=1,"YES","NO")</f>
        <v>NO</v>
      </c>
      <c r="G55" s="4"/>
      <c r="H55" s="4"/>
    </row>
    <row r="56" customFormat="false" ht="15.75" hidden="false" customHeight="false" outlineLevel="0" collapsed="false">
      <c r="B56" s="3" t="str">
        <f aca="false">IF(COUNTIF(Final_CB_O2_V5!$B$2:$B$535,A56)&gt;=1,"YES","NO")</f>
        <v>NO</v>
      </c>
      <c r="D56" s="3" t="str">
        <f aca="false">IF(COUNTIF(Final_CB_O2_V5!$C$2:$C$535,C56)&gt;=1,"YES","NO")</f>
        <v>NO</v>
      </c>
      <c r="G56" s="4"/>
      <c r="H56" s="4"/>
    </row>
    <row r="57" customFormat="false" ht="15.75" hidden="false" customHeight="false" outlineLevel="0" collapsed="false">
      <c r="B57" s="3" t="str">
        <f aca="false">IF(COUNTIF(Final_CB_O2_V5!$B$2:$B$535,A57)&gt;=1,"YES","NO")</f>
        <v>NO</v>
      </c>
      <c r="D57" s="3" t="str">
        <f aca="false">IF(COUNTIF(Final_CB_O2_V5!$C$2:$C$535,C57)&gt;=1,"YES","NO")</f>
        <v>NO</v>
      </c>
      <c r="G57" s="4"/>
      <c r="H57" s="4"/>
    </row>
    <row r="58" customFormat="false" ht="15.75" hidden="false" customHeight="false" outlineLevel="0" collapsed="false">
      <c r="B58" s="3" t="str">
        <f aca="false">IF(COUNTIF(Final_CB_O2_V5!$B$2:$B$535,A58)&gt;=1,"YES","NO")</f>
        <v>NO</v>
      </c>
      <c r="D58" s="3" t="str">
        <f aca="false">IF(COUNTIF(Final_CB_O2_V5!$C$2:$C$535,C58)&gt;=1,"YES","NO")</f>
        <v>NO</v>
      </c>
      <c r="G58" s="4"/>
      <c r="H58" s="4"/>
    </row>
    <row r="59" customFormat="false" ht="15.75" hidden="false" customHeight="false" outlineLevel="0" collapsed="false">
      <c r="B59" s="3" t="str">
        <f aca="false">IF(COUNTIF(Final_CB_O2_V5!$B$2:$B$535,A59)&gt;=1,"YES","NO")</f>
        <v>NO</v>
      </c>
      <c r="D59" s="3" t="str">
        <f aca="false">IF(COUNTIF(Final_CB_O2_V5!$C$2:$C$535,C59)&gt;=1,"YES","NO")</f>
        <v>NO</v>
      </c>
      <c r="G59" s="4"/>
      <c r="H59" s="4"/>
    </row>
    <row r="60" customFormat="false" ht="15.75" hidden="false" customHeight="false" outlineLevel="0" collapsed="false">
      <c r="B60" s="3" t="str">
        <f aca="false">IF(COUNTIF(Final_CB_O2_V5!$B$2:$B$535,A60)&gt;=1,"YES","NO")</f>
        <v>NO</v>
      </c>
      <c r="D60" s="3" t="str">
        <f aca="false">IF(COUNTIF(Final_CB_O2_V5!$C$2:$C$535,C60)&gt;=1,"YES","NO")</f>
        <v>NO</v>
      </c>
      <c r="G60" s="4"/>
      <c r="H60" s="4"/>
    </row>
    <row r="61" customFormat="false" ht="15.75" hidden="false" customHeight="false" outlineLevel="0" collapsed="false">
      <c r="B61" s="3" t="str">
        <f aca="false">IF(COUNTIF(Final_CB_O2_V5!$B$2:$B$535,A61)&gt;=1,"YES","NO")</f>
        <v>NO</v>
      </c>
      <c r="D61" s="3" t="str">
        <f aca="false">IF(COUNTIF(Final_CB_O2_V5!$C$2:$C$535,C61)&gt;=1,"YES","NO")</f>
        <v>NO</v>
      </c>
      <c r="G61" s="4"/>
      <c r="H61" s="4"/>
    </row>
    <row r="62" customFormat="false" ht="15.75" hidden="false" customHeight="false" outlineLevel="0" collapsed="false">
      <c r="B62" s="3" t="str">
        <f aca="false">IF(COUNTIF(Final_CB_O2_V5!$B$2:$B$535,A62)&gt;=1,"YES","NO")</f>
        <v>NO</v>
      </c>
      <c r="D62" s="3" t="str">
        <f aca="false">IF(COUNTIF(Final_CB_O2_V5!$C$2:$C$535,C62)&gt;=1,"YES","NO")</f>
        <v>NO</v>
      </c>
      <c r="G62" s="4"/>
      <c r="H62" s="4"/>
    </row>
    <row r="63" customFormat="false" ht="15.75" hidden="false" customHeight="false" outlineLevel="0" collapsed="false">
      <c r="B63" s="3" t="str">
        <f aca="false">IF(COUNTIF(Final_CB_O2_V5!$B$2:$B$535,A63)&gt;=1,"YES","NO")</f>
        <v>NO</v>
      </c>
      <c r="D63" s="3" t="str">
        <f aca="false">IF(COUNTIF(Final_CB_O2_V5!$C$2:$C$535,C63)&gt;=1,"YES","NO")</f>
        <v>NO</v>
      </c>
      <c r="G63" s="4"/>
      <c r="H63" s="4"/>
    </row>
    <row r="64" customFormat="false" ht="15.75" hidden="false" customHeight="false" outlineLevel="0" collapsed="false">
      <c r="B64" s="3" t="str">
        <f aca="false">IF(COUNTIF(Final_CB_O2_V5!$B$2:$B$535,A64)&gt;=1,"YES","NO")</f>
        <v>NO</v>
      </c>
      <c r="D64" s="3" t="str">
        <f aca="false">IF(COUNTIF(Final_CB_O2_V5!$C$2:$C$535,C64)&gt;=1,"YES","NO")</f>
        <v>NO</v>
      </c>
      <c r="G64" s="4"/>
      <c r="H64" s="4"/>
    </row>
    <row r="65" customFormat="false" ht="15.75" hidden="false" customHeight="false" outlineLevel="0" collapsed="false">
      <c r="B65" s="3" t="str">
        <f aca="false">IF(COUNTIF(Final_CB_O2_V5!$B$2:$B$535,A65)&gt;=1,"YES","NO")</f>
        <v>NO</v>
      </c>
      <c r="D65" s="3" t="str">
        <f aca="false">IF(COUNTIF(Final_CB_O2_V5!$C$2:$C$535,C65)&gt;=1,"YES","NO")</f>
        <v>NO</v>
      </c>
      <c r="G65" s="4"/>
      <c r="H65" s="4"/>
    </row>
    <row r="66" customFormat="false" ht="15.75" hidden="false" customHeight="false" outlineLevel="0" collapsed="false">
      <c r="B66" s="3" t="str">
        <f aca="false">IF(COUNTIF(Final_CB_O2_V5!$B$2:$B$535,A66)&gt;=1,"YES","NO")</f>
        <v>NO</v>
      </c>
      <c r="D66" s="3" t="str">
        <f aca="false">IF(COUNTIF(Final_CB_O2_V5!$C$2:$C$535,C66)&gt;=1,"YES","NO")</f>
        <v>NO</v>
      </c>
      <c r="G66" s="4"/>
      <c r="H66" s="4"/>
    </row>
    <row r="67" customFormat="false" ht="15.75" hidden="false" customHeight="false" outlineLevel="0" collapsed="false">
      <c r="B67" s="3" t="str">
        <f aca="false">IF(COUNTIF(Final_CB_O2_V5!$B$2:$B$535,A67)&gt;=1,"YES","NO")</f>
        <v>NO</v>
      </c>
      <c r="D67" s="3" t="str">
        <f aca="false">IF(COUNTIF(Final_CB_O2_V5!$C$2:$C$535,C67)&gt;=1,"YES","NO")</f>
        <v>NO</v>
      </c>
      <c r="G67" s="4"/>
      <c r="H67" s="4"/>
    </row>
    <row r="68" customFormat="false" ht="15.75" hidden="false" customHeight="false" outlineLevel="0" collapsed="false">
      <c r="B68" s="3" t="str">
        <f aca="false">IF(COUNTIF(Final_CB_O2_V5!$B$2:$B$535,A68)&gt;=1,"YES","NO")</f>
        <v>NO</v>
      </c>
      <c r="D68" s="3" t="str">
        <f aca="false">IF(COUNTIF(Final_CB_O2_V5!$C$2:$C$535,C68)&gt;=1,"YES","NO")</f>
        <v>NO</v>
      </c>
      <c r="G68" s="4"/>
      <c r="H68" s="4"/>
    </row>
    <row r="69" customFormat="false" ht="15.75" hidden="false" customHeight="false" outlineLevel="0" collapsed="false">
      <c r="B69" s="3" t="str">
        <f aca="false">IF(COUNTIF(Final_CB_O2_V5!$B$2:$B$535,A69)&gt;=1,"YES","NO")</f>
        <v>NO</v>
      </c>
      <c r="D69" s="3" t="str">
        <f aca="false">IF(COUNTIF(Final_CB_O2_V5!$C$2:$C$535,C69)&gt;=1,"YES","NO")</f>
        <v>NO</v>
      </c>
      <c r="G69" s="4"/>
      <c r="H69" s="4"/>
    </row>
    <row r="70" customFormat="false" ht="15.75" hidden="false" customHeight="false" outlineLevel="0" collapsed="false">
      <c r="B70" s="3" t="str">
        <f aca="false">IF(COUNTIF(Final_CB_O2_V5!$B$2:$B$535,A70)&gt;=1,"YES","NO")</f>
        <v>NO</v>
      </c>
      <c r="D70" s="3" t="str">
        <f aca="false">IF(COUNTIF(Final_CB_O2_V5!$C$2:$C$535,C70)&gt;=1,"YES","NO")</f>
        <v>NO</v>
      </c>
      <c r="G70" s="4"/>
      <c r="H70" s="4"/>
    </row>
    <row r="71" customFormat="false" ht="15.75" hidden="false" customHeight="false" outlineLevel="0" collapsed="false">
      <c r="B71" s="3" t="str">
        <f aca="false">IF(COUNTIF(Final_CB_O2_V5!$B$2:$B$535,A71)&gt;=1,"YES","NO")</f>
        <v>NO</v>
      </c>
      <c r="D71" s="3" t="str">
        <f aca="false">IF(COUNTIF(Final_CB_O2_V5!$C$2:$C$535,C71)&gt;=1,"YES","NO")</f>
        <v>NO</v>
      </c>
      <c r="G71" s="4"/>
      <c r="H71" s="4"/>
    </row>
    <row r="72" customFormat="false" ht="15.75" hidden="false" customHeight="false" outlineLevel="0" collapsed="false">
      <c r="B72" s="3" t="str">
        <f aca="false">IF(COUNTIF(Final_CB_O2_V5!$B$2:$B$535,A72)&gt;=1,"YES","NO")</f>
        <v>NO</v>
      </c>
      <c r="D72" s="3" t="str">
        <f aca="false">IF(COUNTIF(Final_CB_O2_V5!$C$2:$C$535,C72)&gt;=1,"YES","NO")</f>
        <v>NO</v>
      </c>
      <c r="G72" s="4"/>
      <c r="H72" s="4"/>
    </row>
    <row r="73" customFormat="false" ht="15.75" hidden="false" customHeight="false" outlineLevel="0" collapsed="false">
      <c r="B73" s="3" t="str">
        <f aca="false">IF(COUNTIF(Final_CB_O2_V5!$B$2:$B$535,A73)&gt;=1,"YES","NO")</f>
        <v>NO</v>
      </c>
      <c r="D73" s="3" t="str">
        <f aca="false">IF(COUNTIF(Final_CB_O2_V5!$C$2:$C$535,C73)&gt;=1,"YES","NO")</f>
        <v>NO</v>
      </c>
      <c r="G73" s="4"/>
      <c r="H73" s="4"/>
    </row>
    <row r="74" customFormat="false" ht="15.75" hidden="false" customHeight="false" outlineLevel="0" collapsed="false">
      <c r="B74" s="3" t="str">
        <f aca="false">IF(COUNTIF(Final_CB_O2_V5!$B$2:$B$535,A74)&gt;=1,"YES","NO")</f>
        <v>NO</v>
      </c>
      <c r="D74" s="3" t="str">
        <f aca="false">IF(COUNTIF(Final_CB_O2_V5!$C$2:$C$535,C74)&gt;=1,"YES","NO")</f>
        <v>NO</v>
      </c>
      <c r="G74" s="4"/>
      <c r="H74" s="4"/>
    </row>
    <row r="75" customFormat="false" ht="15.75" hidden="false" customHeight="false" outlineLevel="0" collapsed="false">
      <c r="B75" s="3" t="str">
        <f aca="false">IF(COUNTIF(Final_CB_O2_V5!$B$2:$B$535,A75)&gt;=1,"YES","NO")</f>
        <v>NO</v>
      </c>
      <c r="D75" s="3" t="str">
        <f aca="false">IF(COUNTIF(Final_CB_O2_V5!$C$2:$C$535,C75)&gt;=1,"YES","NO")</f>
        <v>NO</v>
      </c>
      <c r="G75" s="4"/>
      <c r="H75" s="4"/>
    </row>
    <row r="76" customFormat="false" ht="15.75" hidden="false" customHeight="false" outlineLevel="0" collapsed="false">
      <c r="B76" s="3" t="str">
        <f aca="false">IF(COUNTIF(Final_CB_O2_V5!$B$2:$B$535,A76)&gt;=1,"YES","NO")</f>
        <v>NO</v>
      </c>
      <c r="D76" s="3" t="str">
        <f aca="false">IF(COUNTIF(Final_CB_O2_V5!$C$2:$C$535,C76)&gt;=1,"YES","NO")</f>
        <v>NO</v>
      </c>
      <c r="G76" s="4"/>
      <c r="H76" s="4"/>
    </row>
    <row r="77" customFormat="false" ht="15.75" hidden="false" customHeight="false" outlineLevel="0" collapsed="false">
      <c r="B77" s="3" t="str">
        <f aca="false">IF(COUNTIF(Final_CB_O2_V5!$B$2:$B$535,A77)&gt;=1,"YES","NO")</f>
        <v>NO</v>
      </c>
      <c r="D77" s="3" t="str">
        <f aca="false">IF(COUNTIF(Final_CB_O2_V5!$C$2:$C$535,C77)&gt;=1,"YES","NO")</f>
        <v>NO</v>
      </c>
      <c r="G77" s="4"/>
      <c r="H77" s="4"/>
    </row>
    <row r="78" customFormat="false" ht="15.75" hidden="false" customHeight="false" outlineLevel="0" collapsed="false">
      <c r="B78" s="3" t="str">
        <f aca="false">IF(COUNTIF(Final_CB_O2_V5!$B$2:$B$535,A78)&gt;=1,"YES","NO")</f>
        <v>NO</v>
      </c>
      <c r="D78" s="3" t="str">
        <f aca="false">IF(COUNTIF(Final_CB_O2_V5!$C$2:$C$535,C78)&gt;=1,"YES","NO")</f>
        <v>NO</v>
      </c>
      <c r="G78" s="4"/>
      <c r="H78" s="4"/>
    </row>
    <row r="79" customFormat="false" ht="15.75" hidden="false" customHeight="false" outlineLevel="0" collapsed="false">
      <c r="B79" s="3" t="str">
        <f aca="false">IF(COUNTIF(Final_CB_O2_V5!$B$2:$B$535,A79)&gt;=1,"YES","NO")</f>
        <v>NO</v>
      </c>
      <c r="D79" s="3" t="str">
        <f aca="false">IF(COUNTIF(Final_CB_O2_V5!$C$2:$C$535,C79)&gt;=1,"YES","NO")</f>
        <v>NO</v>
      </c>
      <c r="G79" s="4"/>
      <c r="H79" s="4"/>
    </row>
    <row r="80" customFormat="false" ht="15.75" hidden="false" customHeight="false" outlineLevel="0" collapsed="false">
      <c r="B80" s="3" t="str">
        <f aca="false">IF(COUNTIF(Final_CB_O2_V5!$B$2:$B$535,A80)&gt;=1,"YES","NO")</f>
        <v>NO</v>
      </c>
      <c r="D80" s="3" t="str">
        <f aca="false">IF(COUNTIF(Final_CB_O2_V5!$C$2:$C$535,C80)&gt;=1,"YES","NO")</f>
        <v>NO</v>
      </c>
      <c r="G80" s="4"/>
      <c r="H80" s="4"/>
    </row>
    <row r="81" customFormat="false" ht="15.75" hidden="false" customHeight="false" outlineLevel="0" collapsed="false">
      <c r="B81" s="3" t="str">
        <f aca="false">IF(COUNTIF(Final_CB_O2_V5!$B$2:$B$535,A81)&gt;=1,"YES","NO")</f>
        <v>NO</v>
      </c>
      <c r="D81" s="3" t="str">
        <f aca="false">IF(COUNTIF(Final_CB_O2_V5!$C$2:$C$535,C81)&gt;=1,"YES","NO")</f>
        <v>NO</v>
      </c>
      <c r="G81" s="4"/>
      <c r="H81" s="4"/>
    </row>
    <row r="82" customFormat="false" ht="15.75" hidden="false" customHeight="false" outlineLevel="0" collapsed="false">
      <c r="B82" s="3" t="str">
        <f aca="false">IF(COUNTIF(Final_CB_O2_V5!$B$2:$B$535,A82)&gt;=1,"YES","NO")</f>
        <v>NO</v>
      </c>
      <c r="D82" s="3" t="str">
        <f aca="false">IF(COUNTIF(Final_CB_O2_V5!$C$2:$C$535,C82)&gt;=1,"YES","NO")</f>
        <v>NO</v>
      </c>
      <c r="G82" s="4"/>
      <c r="H82" s="4"/>
    </row>
    <row r="83" customFormat="false" ht="15.75" hidden="false" customHeight="false" outlineLevel="0" collapsed="false">
      <c r="B83" s="3" t="str">
        <f aca="false">IF(COUNTIF(Final_CB_O2_V5!$B$2:$B$535,A83)&gt;=1,"YES","NO")</f>
        <v>NO</v>
      </c>
      <c r="D83" s="3" t="str">
        <f aca="false">IF(COUNTIF(Final_CB_O2_V5!$C$2:$C$535,C83)&gt;=1,"YES","NO")</f>
        <v>NO</v>
      </c>
      <c r="G83" s="4"/>
      <c r="H83" s="4"/>
    </row>
    <row r="84" customFormat="false" ht="15.75" hidden="false" customHeight="false" outlineLevel="0" collapsed="false">
      <c r="B84" s="3" t="str">
        <f aca="false">IF(COUNTIF(Final_CB_O2_V5!$B$2:$B$535,A84)&gt;=1,"YES","NO")</f>
        <v>NO</v>
      </c>
      <c r="D84" s="3" t="str">
        <f aca="false">IF(COUNTIF(Final_CB_O2_V5!$C$2:$C$535,C84)&gt;=1,"YES","NO")</f>
        <v>NO</v>
      </c>
      <c r="G84" s="4"/>
      <c r="H84" s="4"/>
    </row>
    <row r="85" customFormat="false" ht="15.75" hidden="false" customHeight="false" outlineLevel="0" collapsed="false">
      <c r="B85" s="3" t="str">
        <f aca="false">IF(COUNTIF(Final_CB_O2_V5!$B$2:$B$535,A85)&gt;=1,"YES","NO")</f>
        <v>NO</v>
      </c>
      <c r="D85" s="3" t="str">
        <f aca="false">IF(COUNTIF(Final_CB_O2_V5!$C$2:$C$535,C85)&gt;=1,"YES","NO")</f>
        <v>NO</v>
      </c>
      <c r="G85" s="4"/>
      <c r="H85" s="4"/>
    </row>
    <row r="86" customFormat="false" ht="15.75" hidden="false" customHeight="false" outlineLevel="0" collapsed="false">
      <c r="B86" s="3" t="str">
        <f aca="false">IF(COUNTIF(Final_CB_O2_V5!$B$2:$B$535,A86)&gt;=1,"YES","NO")</f>
        <v>NO</v>
      </c>
      <c r="D86" s="3" t="str">
        <f aca="false">IF(COUNTIF(Final_CB_O2_V5!$C$2:$C$535,C86)&gt;=1,"YES","NO")</f>
        <v>NO</v>
      </c>
      <c r="G86" s="4"/>
      <c r="H86" s="4"/>
    </row>
    <row r="87" customFormat="false" ht="15.75" hidden="false" customHeight="false" outlineLevel="0" collapsed="false">
      <c r="B87" s="3" t="str">
        <f aca="false">IF(COUNTIF(Final_CB_O2_V5!$B$2:$B$535,A87)&gt;=1,"YES","NO")</f>
        <v>NO</v>
      </c>
      <c r="D87" s="3" t="str">
        <f aca="false">IF(COUNTIF(Final_CB_O2_V5!$C$2:$C$535,C87)&gt;=1,"YES","NO")</f>
        <v>NO</v>
      </c>
      <c r="G87" s="4"/>
      <c r="H87" s="4"/>
    </row>
    <row r="88" customFormat="false" ht="15.75" hidden="false" customHeight="false" outlineLevel="0" collapsed="false">
      <c r="B88" s="3" t="str">
        <f aca="false">IF(COUNTIF(Final_CB_O2_V5!$B$2:$B$535,A88)&gt;=1,"YES","NO")</f>
        <v>NO</v>
      </c>
      <c r="D88" s="3" t="str">
        <f aca="false">IF(COUNTIF(Final_CB_O2_V5!$C$2:$C$535,C88)&gt;=1,"YES","NO")</f>
        <v>NO</v>
      </c>
      <c r="G88" s="4"/>
      <c r="H88" s="4"/>
    </row>
    <row r="89" customFormat="false" ht="15.75" hidden="false" customHeight="false" outlineLevel="0" collapsed="false">
      <c r="B89" s="3" t="str">
        <f aca="false">IF(COUNTIF(Final_CB_O2_V5!$B$2:$B$535,A89)&gt;=1,"YES","NO")</f>
        <v>NO</v>
      </c>
      <c r="D89" s="3" t="str">
        <f aca="false">IF(COUNTIF(Final_CB_O2_V5!$C$2:$C$535,C89)&gt;=1,"YES","NO")</f>
        <v>NO</v>
      </c>
      <c r="G89" s="4"/>
      <c r="H89" s="4"/>
    </row>
    <row r="90" customFormat="false" ht="15.75" hidden="false" customHeight="false" outlineLevel="0" collapsed="false">
      <c r="B90" s="3" t="str">
        <f aca="false">IF(COUNTIF(Final_CB_O2_V5!$B$2:$B$535,A90)&gt;=1,"YES","NO")</f>
        <v>NO</v>
      </c>
      <c r="D90" s="3" t="str">
        <f aca="false">IF(COUNTIF(Final_CB_O2_V5!$C$2:$C$535,C90)&gt;=1,"YES","NO")</f>
        <v>NO</v>
      </c>
      <c r="G90" s="4"/>
      <c r="H90" s="4"/>
    </row>
    <row r="91" customFormat="false" ht="15.75" hidden="false" customHeight="false" outlineLevel="0" collapsed="false">
      <c r="B91" s="3" t="str">
        <f aca="false">IF(COUNTIF(Final_CB_O2_V5!$B$2:$B$535,A91)&gt;=1,"YES","NO")</f>
        <v>NO</v>
      </c>
      <c r="D91" s="3" t="str">
        <f aca="false">IF(COUNTIF(Final_CB_O2_V5!$C$2:$C$535,C91)&gt;=1,"YES","NO")</f>
        <v>NO</v>
      </c>
      <c r="G91" s="4"/>
      <c r="H91" s="4"/>
    </row>
    <row r="92" customFormat="false" ht="15.75" hidden="false" customHeight="false" outlineLevel="0" collapsed="false">
      <c r="B92" s="3" t="str">
        <f aca="false">IF(COUNTIF(Final_CB_O2_V5!$B$2:$B$535,A92)&gt;=1,"YES","NO")</f>
        <v>NO</v>
      </c>
      <c r="D92" s="3" t="str">
        <f aca="false">IF(COUNTIF(Final_CB_O2_V5!$C$2:$C$535,C92)&gt;=1,"YES","NO")</f>
        <v>NO</v>
      </c>
      <c r="G92" s="4"/>
      <c r="H92" s="4"/>
    </row>
    <row r="93" customFormat="false" ht="15.75" hidden="false" customHeight="false" outlineLevel="0" collapsed="false">
      <c r="B93" s="3" t="str">
        <f aca="false">IF(COUNTIF(Final_CB_O2_V5!$B$2:$B$535,A93)&gt;=1,"YES","NO")</f>
        <v>NO</v>
      </c>
      <c r="D93" s="3" t="str">
        <f aca="false">IF(COUNTIF(Final_CB_O2_V5!$C$2:$C$535,C93)&gt;=1,"YES","NO")</f>
        <v>NO</v>
      </c>
      <c r="G93" s="4"/>
      <c r="H93" s="4"/>
    </row>
    <row r="94" customFormat="false" ht="15.75" hidden="false" customHeight="false" outlineLevel="0" collapsed="false">
      <c r="B94" s="3" t="str">
        <f aca="false">IF(COUNTIF(Final_CB_O2_V5!$B$2:$B$535,A94)&gt;=1,"YES","NO")</f>
        <v>NO</v>
      </c>
      <c r="D94" s="3" t="str">
        <f aca="false">IF(COUNTIF(Final_CB_O2_V5!$C$2:$C$535,C94)&gt;=1,"YES","NO")</f>
        <v>NO</v>
      </c>
      <c r="G94" s="4"/>
      <c r="H94" s="4"/>
    </row>
    <row r="95" customFormat="false" ht="15.75" hidden="false" customHeight="false" outlineLevel="0" collapsed="false">
      <c r="B95" s="3" t="str">
        <f aca="false">IF(COUNTIF(Final_CB_O2_V5!$B$2:$B$535,A95)&gt;=1,"YES","NO")</f>
        <v>NO</v>
      </c>
      <c r="D95" s="3" t="str">
        <f aca="false">IF(COUNTIF(Final_CB_O2_V5!$C$2:$C$535,C95)&gt;=1,"YES","NO")</f>
        <v>NO</v>
      </c>
      <c r="G95" s="4"/>
      <c r="H95" s="4"/>
    </row>
    <row r="96" customFormat="false" ht="15.75" hidden="false" customHeight="false" outlineLevel="0" collapsed="false">
      <c r="B96" s="3" t="str">
        <f aca="false">IF(COUNTIF(Final_CB_O2_V5!$B$2:$B$535,A96)&gt;=1,"YES","NO")</f>
        <v>NO</v>
      </c>
      <c r="D96" s="3" t="str">
        <f aca="false">IF(COUNTIF(Final_CB_O2_V5!$C$2:$C$535,C96)&gt;=1,"YES","NO")</f>
        <v>NO</v>
      </c>
      <c r="G96" s="4"/>
      <c r="H96" s="4"/>
    </row>
    <row r="97" customFormat="false" ht="15.75" hidden="false" customHeight="false" outlineLevel="0" collapsed="false">
      <c r="B97" s="3" t="str">
        <f aca="false">IF(COUNTIF(Final_CB_O2_V5!$B$2:$B$535,A97)&gt;=1,"YES","NO")</f>
        <v>NO</v>
      </c>
      <c r="D97" s="3" t="str">
        <f aca="false">IF(COUNTIF(Final_CB_O2_V5!$C$2:$C$535,C97)&gt;=1,"YES","NO")</f>
        <v>NO</v>
      </c>
      <c r="G97" s="4"/>
      <c r="H97" s="4"/>
    </row>
    <row r="98" customFormat="false" ht="15.75" hidden="false" customHeight="false" outlineLevel="0" collapsed="false">
      <c r="B98" s="3" t="str">
        <f aca="false">IF(COUNTIF(Final_CB_O2_V5!$B$2:$B$535,A98)&gt;=1,"YES","NO")</f>
        <v>NO</v>
      </c>
      <c r="D98" s="3" t="str">
        <f aca="false">IF(COUNTIF(Final_CB_O2_V5!$C$2:$C$535,C98)&gt;=1,"YES","NO")</f>
        <v>NO</v>
      </c>
      <c r="G98" s="4"/>
      <c r="H98" s="4"/>
    </row>
    <row r="99" customFormat="false" ht="15.75" hidden="false" customHeight="false" outlineLevel="0" collapsed="false">
      <c r="B99" s="3" t="str">
        <f aca="false">IF(COUNTIF(Final_CB_O2_V5!$B$2:$B$535,A99)&gt;=1,"YES","NO")</f>
        <v>NO</v>
      </c>
      <c r="D99" s="3" t="str">
        <f aca="false">IF(COUNTIF(Final_CB_O2_V5!$C$2:$C$535,C99)&gt;=1,"YES","NO")</f>
        <v>NO</v>
      </c>
      <c r="G99" s="4"/>
      <c r="H99" s="4"/>
    </row>
    <row r="100" customFormat="false" ht="15.75" hidden="false" customHeight="false" outlineLevel="0" collapsed="false">
      <c r="B100" s="3" t="str">
        <f aca="false">IF(COUNTIF(Final_CB_O2_V5!$B$2:$B$535,A100)&gt;=1,"YES","NO")</f>
        <v>NO</v>
      </c>
      <c r="D100" s="3" t="str">
        <f aca="false">IF(COUNTIF(Final_CB_O2_V5!$C$2:$C$535,C100)&gt;=1,"YES","NO")</f>
        <v>NO</v>
      </c>
      <c r="G100" s="4"/>
      <c r="H100" s="4"/>
    </row>
    <row r="101" customFormat="false" ht="15.75" hidden="false" customHeight="false" outlineLevel="0" collapsed="false">
      <c r="B101" s="3" t="str">
        <f aca="false">IF(COUNTIF(Final_CB_O2_V5!$B$2:$B$535,A101)&gt;=1,"YES","NO")</f>
        <v>NO</v>
      </c>
      <c r="D101" s="3" t="str">
        <f aca="false">IF(COUNTIF(Final_CB_O2_V5!$C$2:$C$535,C101)&gt;=1,"YES","NO")</f>
        <v>NO</v>
      </c>
      <c r="G101" s="4"/>
      <c r="H101" s="4"/>
    </row>
    <row r="102" customFormat="false" ht="15.75" hidden="false" customHeight="false" outlineLevel="0" collapsed="false">
      <c r="B102" s="3" t="str">
        <f aca="false">IF(COUNTIF(Final_CB_O2_V5!$B$2:$B$535,A102)&gt;=1,"YES","NO")</f>
        <v>NO</v>
      </c>
      <c r="D102" s="3" t="str">
        <f aca="false">IF(COUNTIF(Final_CB_O2_V5!$C$2:$C$535,C102)&gt;=1,"YES","NO")</f>
        <v>NO</v>
      </c>
      <c r="G102" s="4"/>
      <c r="H102" s="4"/>
    </row>
    <row r="103" customFormat="false" ht="15.75" hidden="false" customHeight="false" outlineLevel="0" collapsed="false">
      <c r="B103" s="3" t="str">
        <f aca="false">IF(COUNTIF(Final_CB_O2_V5!$B$2:$B$535,A103)&gt;=1,"YES","NO")</f>
        <v>NO</v>
      </c>
      <c r="D103" s="3" t="str">
        <f aca="false">IF(COUNTIF(Final_CB_O2_V5!$C$2:$C$535,C103)&gt;=1,"YES","NO")</f>
        <v>NO</v>
      </c>
      <c r="G103" s="4"/>
      <c r="H103" s="4"/>
    </row>
    <row r="104" customFormat="false" ht="15.75" hidden="false" customHeight="false" outlineLevel="0" collapsed="false">
      <c r="B104" s="3" t="str">
        <f aca="false">IF(COUNTIF(Final_CB_O2_V5!$B$2:$B$535,A104)&gt;=1,"YES","NO")</f>
        <v>NO</v>
      </c>
      <c r="D104" s="3" t="str">
        <f aca="false">IF(COUNTIF(Final_CB_O2_V5!$C$2:$C$535,C104)&gt;=1,"YES","NO")</f>
        <v>NO</v>
      </c>
      <c r="G104" s="4"/>
      <c r="H104" s="4"/>
    </row>
    <row r="105" customFormat="false" ht="15.75" hidden="false" customHeight="false" outlineLevel="0" collapsed="false">
      <c r="B105" s="3" t="str">
        <f aca="false">IF(COUNTIF(Final_CB_O2_V5!$B$2:$B$535,A105)&gt;=1,"YES","NO")</f>
        <v>NO</v>
      </c>
      <c r="D105" s="3" t="str">
        <f aca="false">IF(COUNTIF(Final_CB_O2_V5!$C$2:$C$535,C105)&gt;=1,"YES","NO")</f>
        <v>NO</v>
      </c>
      <c r="G105" s="4"/>
      <c r="H105" s="4"/>
    </row>
    <row r="106" customFormat="false" ht="15.75" hidden="false" customHeight="false" outlineLevel="0" collapsed="false">
      <c r="B106" s="3" t="str">
        <f aca="false">IF(COUNTIF(Final_CB_O2_V5!$B$2:$B$535,A106)&gt;=1,"YES","NO")</f>
        <v>NO</v>
      </c>
      <c r="D106" s="3" t="str">
        <f aca="false">IF(COUNTIF(Final_CB_O2_V5!$C$2:$C$535,C106)&gt;=1,"YES","NO")</f>
        <v>NO</v>
      </c>
      <c r="G106" s="4"/>
      <c r="H106" s="4"/>
    </row>
    <row r="107" customFormat="false" ht="15.75" hidden="false" customHeight="false" outlineLevel="0" collapsed="false">
      <c r="B107" s="3" t="str">
        <f aca="false">IF(COUNTIF(Final_CB_O2_V5!$B$2:$B$535,A107)&gt;=1,"YES","NO")</f>
        <v>NO</v>
      </c>
      <c r="D107" s="3" t="str">
        <f aca="false">IF(COUNTIF(Final_CB_O2_V5!$C$2:$C$535,C107)&gt;=1,"YES","NO")</f>
        <v>NO</v>
      </c>
      <c r="G107" s="4"/>
      <c r="H107" s="4"/>
    </row>
    <row r="108" customFormat="false" ht="15.75" hidden="false" customHeight="false" outlineLevel="0" collapsed="false">
      <c r="B108" s="3" t="str">
        <f aca="false">IF(COUNTIF(Final_CB_O2_V5!$B$2:$B$535,A108)&gt;=1,"YES","NO")</f>
        <v>NO</v>
      </c>
      <c r="D108" s="3" t="str">
        <f aca="false">IF(COUNTIF(Final_CB_O2_V5!$C$2:$C$535,C108)&gt;=1,"YES","NO")</f>
        <v>NO</v>
      </c>
      <c r="G108" s="4"/>
      <c r="H108" s="4"/>
    </row>
    <row r="109" customFormat="false" ht="15.75" hidden="false" customHeight="false" outlineLevel="0" collapsed="false">
      <c r="B109" s="3" t="str">
        <f aca="false">IF(COUNTIF(Final_CB_O2_V5!$B$2:$B$535,A109)&gt;=1,"YES","NO")</f>
        <v>NO</v>
      </c>
      <c r="D109" s="3" t="str">
        <f aca="false">IF(COUNTIF(Final_CB_O2_V5!$C$2:$C$535,C109)&gt;=1,"YES","NO")</f>
        <v>NO</v>
      </c>
      <c r="G109" s="4"/>
      <c r="H109" s="4"/>
    </row>
    <row r="110" customFormat="false" ht="15.75" hidden="false" customHeight="false" outlineLevel="0" collapsed="false">
      <c r="B110" s="3" t="str">
        <f aca="false">IF(COUNTIF(Final_CB_O2_V5!$B$2:$B$535,A110)&gt;=1,"YES","NO")</f>
        <v>NO</v>
      </c>
      <c r="D110" s="3" t="str">
        <f aca="false">IF(COUNTIF(Final_CB_O2_V5!$C$2:$C$535,C110)&gt;=1,"YES","NO")</f>
        <v>NO</v>
      </c>
      <c r="G110" s="4"/>
      <c r="H110" s="4"/>
    </row>
    <row r="111" customFormat="false" ht="15.75" hidden="false" customHeight="false" outlineLevel="0" collapsed="false">
      <c r="B111" s="3" t="str">
        <f aca="false">IF(COUNTIF(Final_CB_O2_V5!$B$2:$B$535,A111)&gt;=1,"YES","NO")</f>
        <v>NO</v>
      </c>
      <c r="D111" s="3" t="str">
        <f aca="false">IF(COUNTIF(Final_CB_O2_V5!$C$2:$C$535,C111)&gt;=1,"YES","NO")</f>
        <v>NO</v>
      </c>
      <c r="G111" s="4"/>
      <c r="H111" s="4"/>
    </row>
    <row r="112" customFormat="false" ht="15.75" hidden="false" customHeight="false" outlineLevel="0" collapsed="false">
      <c r="B112" s="3" t="str">
        <f aca="false">IF(COUNTIF(Final_CB_O2_V5!$B$2:$B$535,A112)&gt;=1,"YES","NO")</f>
        <v>NO</v>
      </c>
      <c r="D112" s="3" t="str">
        <f aca="false">IF(COUNTIF(Final_CB_O2_V5!$C$2:$C$535,C112)&gt;=1,"YES","NO")</f>
        <v>NO</v>
      </c>
      <c r="G112" s="4"/>
      <c r="H112" s="4"/>
    </row>
    <row r="113" customFormat="false" ht="15.75" hidden="false" customHeight="false" outlineLevel="0" collapsed="false">
      <c r="B113" s="3" t="str">
        <f aca="false">IF(COUNTIF(Final_CB_O2_V5!$B$2:$B$535,A113)&gt;=1,"YES","NO")</f>
        <v>NO</v>
      </c>
      <c r="D113" s="3" t="str">
        <f aca="false">IF(COUNTIF(Final_CB_O2_V5!$C$2:$C$535,C113)&gt;=1,"YES","NO")</f>
        <v>NO</v>
      </c>
      <c r="G113" s="4"/>
      <c r="H113" s="4"/>
    </row>
    <row r="114" customFormat="false" ht="15.75" hidden="false" customHeight="false" outlineLevel="0" collapsed="false">
      <c r="B114" s="3" t="str">
        <f aca="false">IF(COUNTIF(Final_CB_O2_V5!$B$2:$B$535,A114)&gt;=1,"YES","NO")</f>
        <v>NO</v>
      </c>
      <c r="D114" s="3" t="str">
        <f aca="false">IF(COUNTIF(Final_CB_O2_V5!$C$2:$C$535,C114)&gt;=1,"YES","NO")</f>
        <v>NO</v>
      </c>
      <c r="G114" s="4"/>
      <c r="H114" s="4"/>
    </row>
    <row r="115" customFormat="false" ht="15.75" hidden="false" customHeight="false" outlineLevel="0" collapsed="false">
      <c r="B115" s="3" t="str">
        <f aca="false">IF(COUNTIF(Final_CB_O2_V5!$B$2:$B$535,A115)&gt;=1,"YES","NO")</f>
        <v>NO</v>
      </c>
      <c r="D115" s="3" t="str">
        <f aca="false">IF(COUNTIF(Final_CB_O2_V5!$C$2:$C$535,C115)&gt;=1,"YES","NO")</f>
        <v>NO</v>
      </c>
      <c r="G115" s="4"/>
      <c r="H115" s="4"/>
    </row>
    <row r="116" customFormat="false" ht="15.75" hidden="false" customHeight="false" outlineLevel="0" collapsed="false">
      <c r="B116" s="3" t="str">
        <f aca="false">IF(COUNTIF(Final_CB_O2_V5!$B$2:$B$535,A116)&gt;=1,"YES","NO")</f>
        <v>NO</v>
      </c>
      <c r="D116" s="3" t="str">
        <f aca="false">IF(COUNTIF(Final_CB_O2_V5!$C$2:$C$535,C116)&gt;=1,"YES","NO")</f>
        <v>NO</v>
      </c>
      <c r="G116" s="4"/>
      <c r="H116" s="4"/>
    </row>
    <row r="117" customFormat="false" ht="15.75" hidden="false" customHeight="false" outlineLevel="0" collapsed="false">
      <c r="B117" s="3" t="str">
        <f aca="false">IF(COUNTIF(Final_CB_O2_V5!$B$2:$B$535,A117)&gt;=1,"YES","NO")</f>
        <v>NO</v>
      </c>
      <c r="D117" s="3" t="str">
        <f aca="false">IF(COUNTIF(Final_CB_O2_V5!$C$2:$C$535,C117)&gt;=1,"YES","NO")</f>
        <v>NO</v>
      </c>
      <c r="G117" s="4"/>
      <c r="H117" s="4"/>
    </row>
    <row r="118" customFormat="false" ht="15.75" hidden="false" customHeight="false" outlineLevel="0" collapsed="false">
      <c r="B118" s="3" t="str">
        <f aca="false">IF(COUNTIF(Final_CB_O2_V5!$B$2:$B$535,A118)&gt;=1,"YES","NO")</f>
        <v>NO</v>
      </c>
      <c r="D118" s="3" t="str">
        <f aca="false">IF(COUNTIF(Final_CB_O2_V5!$C$2:$C$535,C118)&gt;=1,"YES","NO")</f>
        <v>NO</v>
      </c>
      <c r="G118" s="4"/>
      <c r="H118" s="4"/>
    </row>
    <row r="119" customFormat="false" ht="15.75" hidden="false" customHeight="false" outlineLevel="0" collapsed="false">
      <c r="B119" s="3" t="str">
        <f aca="false">IF(COUNTIF(Final_CB_O2_V5!$B$2:$B$535,A119)&gt;=1,"YES","NO")</f>
        <v>NO</v>
      </c>
      <c r="D119" s="3" t="str">
        <f aca="false">IF(COUNTIF(Final_CB_O2_V5!$C$2:$C$535,C119)&gt;=1,"YES","NO")</f>
        <v>NO</v>
      </c>
      <c r="G119" s="4"/>
      <c r="H119" s="4"/>
    </row>
    <row r="120" customFormat="false" ht="15.75" hidden="false" customHeight="false" outlineLevel="0" collapsed="false">
      <c r="B120" s="3" t="str">
        <f aca="false">IF(COUNTIF(Final_CB_O2_V5!$B$2:$B$535,A120)&gt;=1,"YES","NO")</f>
        <v>NO</v>
      </c>
      <c r="D120" s="3" t="str">
        <f aca="false">IF(COUNTIF(Final_CB_O2_V5!$C$2:$C$535,C120)&gt;=1,"YES","NO")</f>
        <v>NO</v>
      </c>
      <c r="G120" s="4"/>
      <c r="H120" s="4"/>
    </row>
    <row r="121" customFormat="false" ht="15.75" hidden="false" customHeight="false" outlineLevel="0" collapsed="false">
      <c r="B121" s="3" t="str">
        <f aca="false">IF(COUNTIF(Final_CB_O2_V5!$B$2:$B$535,A121)&gt;=1,"YES","NO")</f>
        <v>NO</v>
      </c>
      <c r="D121" s="3" t="str">
        <f aca="false">IF(COUNTIF(Final_CB_O2_V5!$C$2:$C$535,C121)&gt;=1,"YES","NO")</f>
        <v>NO</v>
      </c>
      <c r="G121" s="4"/>
      <c r="H121" s="4"/>
    </row>
    <row r="122" customFormat="false" ht="15.75" hidden="false" customHeight="false" outlineLevel="0" collapsed="false">
      <c r="B122" s="3" t="str">
        <f aca="false">IF(COUNTIF(Final_CB_O2_V5!$B$2:$B$535,A122)&gt;=1,"YES","NO")</f>
        <v>NO</v>
      </c>
      <c r="D122" s="3" t="str">
        <f aca="false">IF(COUNTIF(Final_CB_O2_V5!$C$2:$C$535,C122)&gt;=1,"YES","NO")</f>
        <v>NO</v>
      </c>
      <c r="G122" s="4"/>
      <c r="H122" s="4"/>
    </row>
    <row r="123" customFormat="false" ht="15.75" hidden="false" customHeight="false" outlineLevel="0" collapsed="false">
      <c r="B123" s="3" t="str">
        <f aca="false">IF(COUNTIF(Final_CB_O2_V5!$B$2:$B$535,A123)&gt;=1,"YES","NO")</f>
        <v>NO</v>
      </c>
      <c r="D123" s="3" t="str">
        <f aca="false">IF(COUNTIF(Final_CB_O2_V5!$C$2:$C$535,C123)&gt;=1,"YES","NO")</f>
        <v>NO</v>
      </c>
      <c r="G123" s="4"/>
      <c r="H123" s="4"/>
    </row>
    <row r="124" customFormat="false" ht="15.75" hidden="false" customHeight="false" outlineLevel="0" collapsed="false">
      <c r="B124" s="3" t="str">
        <f aca="false">IF(COUNTIF(Final_CB_O2_V5!$B$2:$B$535,A124)&gt;=1,"YES","NO")</f>
        <v>NO</v>
      </c>
      <c r="D124" s="3" t="str">
        <f aca="false">IF(COUNTIF(Final_CB_O2_V5!$C$2:$C$535,C124)&gt;=1,"YES","NO")</f>
        <v>NO</v>
      </c>
      <c r="G124" s="4"/>
      <c r="H124" s="4"/>
    </row>
    <row r="125" customFormat="false" ht="15.75" hidden="false" customHeight="false" outlineLevel="0" collapsed="false">
      <c r="B125" s="3" t="str">
        <f aca="false">IF(COUNTIF(Final_CB_O2_V5!$B$2:$B$535,A125)&gt;=1,"YES","NO")</f>
        <v>NO</v>
      </c>
      <c r="D125" s="3" t="str">
        <f aca="false">IF(COUNTIF(Final_CB_O2_V5!$C$2:$C$535,C125)&gt;=1,"YES","NO")</f>
        <v>NO</v>
      </c>
      <c r="G125" s="4"/>
      <c r="H125" s="4"/>
    </row>
    <row r="126" customFormat="false" ht="15.75" hidden="false" customHeight="false" outlineLevel="0" collapsed="false">
      <c r="B126" s="3" t="str">
        <f aca="false">IF(COUNTIF(Final_CB_O2_V5!$B$2:$B$535,A126)&gt;=1,"YES","NO")</f>
        <v>NO</v>
      </c>
      <c r="D126" s="3" t="str">
        <f aca="false">IF(COUNTIF(Final_CB_O2_V5!$C$2:$C$535,C126)&gt;=1,"YES","NO")</f>
        <v>NO</v>
      </c>
      <c r="G126" s="4"/>
      <c r="H126" s="4"/>
    </row>
    <row r="127" customFormat="false" ht="15.75" hidden="false" customHeight="false" outlineLevel="0" collapsed="false">
      <c r="B127" s="3" t="str">
        <f aca="false">IF(COUNTIF(Final_CB_O2_V5!$B$2:$B$535,A127)&gt;=1,"YES","NO")</f>
        <v>NO</v>
      </c>
      <c r="D127" s="3" t="str">
        <f aca="false">IF(COUNTIF(Final_CB_O2_V5!$C$2:$C$535,C127)&gt;=1,"YES","NO")</f>
        <v>NO</v>
      </c>
      <c r="G127" s="4"/>
      <c r="H127" s="4"/>
    </row>
    <row r="128" customFormat="false" ht="15.75" hidden="false" customHeight="false" outlineLevel="0" collapsed="false">
      <c r="B128" s="3" t="str">
        <f aca="false">IF(COUNTIF(Final_CB_O2_V5!$B$2:$B$535,A128)&gt;=1,"YES","NO")</f>
        <v>NO</v>
      </c>
      <c r="D128" s="3" t="str">
        <f aca="false">IF(COUNTIF(Final_CB_O2_V5!$C$2:$C$535,C128)&gt;=1,"YES","NO")</f>
        <v>NO</v>
      </c>
      <c r="G128" s="4"/>
      <c r="H128" s="4"/>
    </row>
    <row r="129" customFormat="false" ht="15.75" hidden="false" customHeight="false" outlineLevel="0" collapsed="false">
      <c r="B129" s="3" t="str">
        <f aca="false">IF(COUNTIF(Final_CB_O2_V5!$B$2:$B$535,A129)&gt;=1,"YES","NO")</f>
        <v>NO</v>
      </c>
      <c r="D129" s="3" t="str">
        <f aca="false">IF(COUNTIF(Final_CB_O2_V5!$C$2:$C$535,C129)&gt;=1,"YES","NO")</f>
        <v>NO</v>
      </c>
      <c r="G129" s="4"/>
      <c r="H129" s="4"/>
    </row>
    <row r="130" customFormat="false" ht="15.75" hidden="false" customHeight="false" outlineLevel="0" collapsed="false">
      <c r="B130" s="3" t="str">
        <f aca="false">IF(COUNTIF(Final_CB_O2_V5!$B$2:$B$535,A130)&gt;=1,"YES","NO")</f>
        <v>NO</v>
      </c>
      <c r="D130" s="3" t="str">
        <f aca="false">IF(COUNTIF(Final_CB_O2_V5!$C$2:$C$535,C130)&gt;=1,"YES","NO")</f>
        <v>NO</v>
      </c>
      <c r="G130" s="4"/>
      <c r="H130" s="4"/>
    </row>
    <row r="131" customFormat="false" ht="15.75" hidden="false" customHeight="false" outlineLevel="0" collapsed="false">
      <c r="B131" s="3" t="str">
        <f aca="false">IF(COUNTIF(Final_CB_O2_V5!$B$2:$B$535,A131)&gt;=1,"YES","NO")</f>
        <v>NO</v>
      </c>
      <c r="D131" s="3" t="str">
        <f aca="false">IF(COUNTIF(Final_CB_O2_V5!$C$2:$C$535,C131)&gt;=1,"YES","NO")</f>
        <v>NO</v>
      </c>
      <c r="G131" s="4"/>
      <c r="H131" s="4"/>
    </row>
    <row r="132" customFormat="false" ht="15.75" hidden="false" customHeight="false" outlineLevel="0" collapsed="false">
      <c r="B132" s="3" t="str">
        <f aca="false">IF(COUNTIF(Final_CB_O2_V5!$B$2:$B$535,A132)&gt;=1,"YES","NO")</f>
        <v>NO</v>
      </c>
      <c r="D132" s="3" t="str">
        <f aca="false">IF(COUNTIF(Final_CB_O2_V5!$C$2:$C$535,C132)&gt;=1,"YES","NO")</f>
        <v>NO</v>
      </c>
      <c r="G132" s="4"/>
      <c r="H132" s="4"/>
    </row>
    <row r="133" customFormat="false" ht="15.75" hidden="false" customHeight="false" outlineLevel="0" collapsed="false">
      <c r="B133" s="3" t="str">
        <f aca="false">IF(COUNTIF(Final_CB_O2_V5!$B$2:$B$535,A133)&gt;=1,"YES","NO")</f>
        <v>NO</v>
      </c>
      <c r="D133" s="3" t="str">
        <f aca="false">IF(COUNTIF(Final_CB_O2_V5!$C$2:$C$535,C133)&gt;=1,"YES","NO")</f>
        <v>NO</v>
      </c>
      <c r="G133" s="4"/>
      <c r="H133" s="4"/>
    </row>
    <row r="134" customFormat="false" ht="15.75" hidden="false" customHeight="false" outlineLevel="0" collapsed="false">
      <c r="B134" s="3" t="str">
        <f aca="false">IF(COUNTIF(Final_CB_O2_V5!$B$2:$B$535,A134)&gt;=1,"YES","NO")</f>
        <v>NO</v>
      </c>
      <c r="D134" s="3" t="str">
        <f aca="false">IF(COUNTIF(Final_CB_O2_V5!$C$2:$C$535,C134)&gt;=1,"YES","NO")</f>
        <v>NO</v>
      </c>
      <c r="G134" s="4"/>
      <c r="H134" s="4"/>
    </row>
    <row r="135" customFormat="false" ht="15.75" hidden="false" customHeight="false" outlineLevel="0" collapsed="false">
      <c r="B135" s="3" t="str">
        <f aca="false">IF(COUNTIF(Final_CB_O2_V5!$B$2:$B$535,A135)&gt;=1,"YES","NO")</f>
        <v>NO</v>
      </c>
      <c r="D135" s="3" t="str">
        <f aca="false">IF(COUNTIF(Final_CB_O2_V5!$C$2:$C$535,C135)&gt;=1,"YES","NO")</f>
        <v>NO</v>
      </c>
      <c r="G135" s="4"/>
      <c r="H135" s="4"/>
    </row>
    <row r="136" customFormat="false" ht="15.75" hidden="false" customHeight="false" outlineLevel="0" collapsed="false">
      <c r="B136" s="3" t="str">
        <f aca="false">IF(COUNTIF(Final_CB_O2_V5!$B$2:$B$535,A136)&gt;=1,"YES","NO")</f>
        <v>NO</v>
      </c>
      <c r="D136" s="3" t="str">
        <f aca="false">IF(COUNTIF(Final_CB_O2_V5!$C$2:$C$535,C136)&gt;=1,"YES","NO")</f>
        <v>NO</v>
      </c>
      <c r="G136" s="4"/>
      <c r="H136" s="4"/>
    </row>
    <row r="137" customFormat="false" ht="15.75" hidden="false" customHeight="false" outlineLevel="0" collapsed="false">
      <c r="B137" s="3" t="str">
        <f aca="false">IF(COUNTIF(Final_CB_O2_V5!$B$2:$B$535,A137)&gt;=1,"YES","NO")</f>
        <v>NO</v>
      </c>
      <c r="D137" s="3" t="str">
        <f aca="false">IF(COUNTIF(Final_CB_O2_V5!$C$2:$C$535,C137)&gt;=1,"YES","NO")</f>
        <v>NO</v>
      </c>
      <c r="G137" s="4"/>
      <c r="H137" s="4"/>
    </row>
    <row r="138" customFormat="false" ht="15.75" hidden="false" customHeight="false" outlineLevel="0" collapsed="false">
      <c r="B138" s="3" t="str">
        <f aca="false">IF(COUNTIF(Final_CB_O2_V5!$B$2:$B$535,A138)&gt;=1,"YES","NO")</f>
        <v>NO</v>
      </c>
      <c r="D138" s="3" t="str">
        <f aca="false">IF(COUNTIF(Final_CB_O2_V5!$C$2:$C$535,C138)&gt;=1,"YES","NO")</f>
        <v>NO</v>
      </c>
      <c r="G138" s="4"/>
      <c r="H138" s="4"/>
    </row>
    <row r="139" customFormat="false" ht="15.75" hidden="false" customHeight="false" outlineLevel="0" collapsed="false">
      <c r="B139" s="3" t="str">
        <f aca="false">IF(COUNTIF(Final_CB_O2_V5!$B$2:$B$535,A139)&gt;=1,"YES","NO")</f>
        <v>NO</v>
      </c>
      <c r="D139" s="3" t="str">
        <f aca="false">IF(COUNTIF(Final_CB_O2_V5!$C$2:$C$535,C139)&gt;=1,"YES","NO")</f>
        <v>NO</v>
      </c>
      <c r="G139" s="4"/>
      <c r="H139" s="4"/>
    </row>
    <row r="140" customFormat="false" ht="15.75" hidden="false" customHeight="false" outlineLevel="0" collapsed="false">
      <c r="B140" s="3" t="str">
        <f aca="false">IF(COUNTIF(Final_CB_O2_V5!$B$2:$B$535,A140)&gt;=1,"YES","NO")</f>
        <v>NO</v>
      </c>
      <c r="D140" s="3" t="str">
        <f aca="false">IF(COUNTIF(Final_CB_O2_V5!$C$2:$C$535,C140)&gt;=1,"YES","NO")</f>
        <v>NO</v>
      </c>
      <c r="G140" s="4"/>
      <c r="H140" s="4"/>
    </row>
    <row r="141" customFormat="false" ht="15.75" hidden="false" customHeight="false" outlineLevel="0" collapsed="false">
      <c r="B141" s="3" t="str">
        <f aca="false">IF(COUNTIF(Final_CB_O2_V5!$B$2:$B$535,A141)&gt;=1,"YES","NO")</f>
        <v>NO</v>
      </c>
      <c r="D141" s="3" t="str">
        <f aca="false">IF(COUNTIF(Final_CB_O2_V5!$C$2:$C$535,C141)&gt;=1,"YES","NO")</f>
        <v>NO</v>
      </c>
      <c r="G141" s="4"/>
      <c r="H141" s="4"/>
    </row>
    <row r="142" customFormat="false" ht="15.75" hidden="false" customHeight="false" outlineLevel="0" collapsed="false">
      <c r="B142" s="3" t="str">
        <f aca="false">IF(COUNTIF(Final_CB_O2_V5!$B$2:$B$535,A142)&gt;=1,"YES","NO")</f>
        <v>NO</v>
      </c>
      <c r="D142" s="3" t="str">
        <f aca="false">IF(COUNTIF(Final_CB_O2_V5!$C$2:$C$535,C142)&gt;=1,"YES","NO")</f>
        <v>NO</v>
      </c>
      <c r="G142" s="4"/>
      <c r="H142" s="4"/>
    </row>
    <row r="143" customFormat="false" ht="15.75" hidden="false" customHeight="false" outlineLevel="0" collapsed="false">
      <c r="B143" s="3" t="str">
        <f aca="false">IF(COUNTIF(Final_CB_O2_V5!$B$2:$B$535,A143)&gt;=1,"YES","NO")</f>
        <v>NO</v>
      </c>
      <c r="D143" s="3" t="str">
        <f aca="false">IF(COUNTIF(Final_CB_O2_V5!$C$2:$C$535,C143)&gt;=1,"YES","NO")</f>
        <v>NO</v>
      </c>
      <c r="G143" s="4"/>
      <c r="H143" s="4"/>
    </row>
    <row r="144" customFormat="false" ht="15.75" hidden="false" customHeight="false" outlineLevel="0" collapsed="false">
      <c r="B144" s="3" t="str">
        <f aca="false">IF(COUNTIF(Final_CB_O2_V5!$B$2:$B$535,A144)&gt;=1,"YES","NO")</f>
        <v>NO</v>
      </c>
      <c r="D144" s="3" t="str">
        <f aca="false">IF(COUNTIF(Final_CB_O2_V5!$C$2:$C$535,C144)&gt;=1,"YES","NO")</f>
        <v>NO</v>
      </c>
      <c r="G144" s="4"/>
      <c r="H144" s="4"/>
    </row>
    <row r="145" customFormat="false" ht="15.75" hidden="false" customHeight="false" outlineLevel="0" collapsed="false">
      <c r="B145" s="3" t="str">
        <f aca="false">IF(COUNTIF(Final_CB_O2_V5!$B$2:$B$535,A145)&gt;=1,"YES","NO")</f>
        <v>NO</v>
      </c>
      <c r="D145" s="3" t="str">
        <f aca="false">IF(COUNTIF(Final_CB_O2_V5!$C$2:$C$535,C145)&gt;=1,"YES","NO")</f>
        <v>NO</v>
      </c>
      <c r="G145" s="4"/>
      <c r="H145" s="4"/>
    </row>
    <row r="146" customFormat="false" ht="15.75" hidden="false" customHeight="false" outlineLevel="0" collapsed="false">
      <c r="B146" s="3" t="str">
        <f aca="false">IF(COUNTIF(Final_CB_O2_V5!$B$2:$B$535,A146)&gt;=1,"YES","NO")</f>
        <v>NO</v>
      </c>
      <c r="D146" s="3" t="str">
        <f aca="false">IF(COUNTIF(Final_CB_O2_V5!$C$2:$C$535,C146)&gt;=1,"YES","NO")</f>
        <v>NO</v>
      </c>
      <c r="G146" s="4"/>
      <c r="H146" s="4"/>
    </row>
    <row r="147" customFormat="false" ht="15.75" hidden="false" customHeight="false" outlineLevel="0" collapsed="false">
      <c r="B147" s="3" t="str">
        <f aca="false">IF(COUNTIF(Final_CB_O2_V5!$B$2:$B$535,A147)&gt;=1,"YES","NO")</f>
        <v>NO</v>
      </c>
      <c r="D147" s="3" t="str">
        <f aca="false">IF(COUNTIF(Final_CB_O2_V5!$C$2:$C$535,C147)&gt;=1,"YES","NO")</f>
        <v>NO</v>
      </c>
      <c r="G147" s="4"/>
      <c r="H147" s="4"/>
    </row>
    <row r="148" customFormat="false" ht="15.75" hidden="false" customHeight="false" outlineLevel="0" collapsed="false">
      <c r="B148" s="3" t="str">
        <f aca="false">IF(COUNTIF(Final_CB_O2_V5!$B$2:$B$535,A148)&gt;=1,"YES","NO")</f>
        <v>NO</v>
      </c>
      <c r="D148" s="3" t="str">
        <f aca="false">IF(COUNTIF(Final_CB_O2_V5!$C$2:$C$535,C148)&gt;=1,"YES","NO")</f>
        <v>NO</v>
      </c>
      <c r="G148" s="4"/>
      <c r="H148" s="4"/>
    </row>
    <row r="149" customFormat="false" ht="15.75" hidden="false" customHeight="false" outlineLevel="0" collapsed="false">
      <c r="B149" s="3" t="str">
        <f aca="false">IF(COUNTIF(Final_CB_O2_V5!$B$2:$B$535,A149)&gt;=1,"YES","NO")</f>
        <v>NO</v>
      </c>
      <c r="D149" s="3" t="str">
        <f aca="false">IF(COUNTIF(Final_CB_O2_V5!$C$2:$C$535,C149)&gt;=1,"YES","NO")</f>
        <v>NO</v>
      </c>
      <c r="G149" s="4"/>
      <c r="H149" s="4"/>
    </row>
    <row r="150" customFormat="false" ht="15.75" hidden="false" customHeight="false" outlineLevel="0" collapsed="false">
      <c r="B150" s="3" t="str">
        <f aca="false">IF(COUNTIF(Final_CB_O2_V5!$B$2:$B$535,A150)&gt;=1,"YES","NO")</f>
        <v>NO</v>
      </c>
      <c r="D150" s="3" t="str">
        <f aca="false">IF(COUNTIF(Final_CB_O2_V5!$C$2:$C$535,C150)&gt;=1,"YES","NO")</f>
        <v>NO</v>
      </c>
      <c r="G150" s="4"/>
      <c r="H150" s="4"/>
    </row>
    <row r="151" customFormat="false" ht="15.75" hidden="false" customHeight="false" outlineLevel="0" collapsed="false">
      <c r="B151" s="3" t="str">
        <f aca="false">IF(COUNTIF(Final_CB_O2_V5!$B$2:$B$535,A151)&gt;=1,"YES","NO")</f>
        <v>NO</v>
      </c>
      <c r="D151" s="3" t="str">
        <f aca="false">IF(COUNTIF(Final_CB_O2_V5!$C$2:$C$535,C151)&gt;=1,"YES","NO")</f>
        <v>NO</v>
      </c>
      <c r="G151" s="4"/>
      <c r="H151" s="4"/>
    </row>
    <row r="152" customFormat="false" ht="15.75" hidden="false" customHeight="false" outlineLevel="0" collapsed="false">
      <c r="B152" s="3" t="str">
        <f aca="false">IF(COUNTIF(Final_CB_O2_V5!$B$2:$B$535,A152)&gt;=1,"YES","NO")</f>
        <v>NO</v>
      </c>
      <c r="D152" s="3" t="str">
        <f aca="false">IF(COUNTIF(Final_CB_O2_V5!$C$2:$C$535,C152)&gt;=1,"YES","NO")</f>
        <v>NO</v>
      </c>
      <c r="G152" s="4"/>
      <c r="H152" s="4"/>
    </row>
    <row r="153" customFormat="false" ht="15.75" hidden="false" customHeight="false" outlineLevel="0" collapsed="false">
      <c r="B153" s="3" t="str">
        <f aca="false">IF(COUNTIF(Final_CB_O2_V5!$B$2:$B$535,A153)&gt;=1,"YES","NO")</f>
        <v>NO</v>
      </c>
      <c r="D153" s="3" t="str">
        <f aca="false">IF(COUNTIF(Final_CB_O2_V5!$C$2:$C$535,C153)&gt;=1,"YES","NO")</f>
        <v>NO</v>
      </c>
      <c r="G153" s="4"/>
      <c r="H153" s="4"/>
    </row>
    <row r="154" customFormat="false" ht="15.75" hidden="false" customHeight="false" outlineLevel="0" collapsed="false">
      <c r="B154" s="3" t="str">
        <f aca="false">IF(COUNTIF(Final_CB_O2_V5!$B$2:$B$535,A154)&gt;=1,"YES","NO")</f>
        <v>NO</v>
      </c>
      <c r="D154" s="3" t="str">
        <f aca="false">IF(COUNTIF(Final_CB_O2_V5!$C$2:$C$535,C154)&gt;=1,"YES","NO")</f>
        <v>NO</v>
      </c>
      <c r="G154" s="4"/>
      <c r="H154" s="4"/>
    </row>
    <row r="155" customFormat="false" ht="15.75" hidden="false" customHeight="false" outlineLevel="0" collapsed="false">
      <c r="B155" s="3" t="str">
        <f aca="false">IF(COUNTIF(Final_CB_O2_V5!$B$2:$B$535,A155)&gt;=1,"YES","NO")</f>
        <v>NO</v>
      </c>
      <c r="D155" s="3" t="str">
        <f aca="false">IF(COUNTIF(Final_CB_O2_V5!$C$2:$C$535,C155)&gt;=1,"YES","NO")</f>
        <v>NO</v>
      </c>
      <c r="G155" s="4"/>
      <c r="H155" s="4"/>
    </row>
    <row r="156" customFormat="false" ht="15.75" hidden="false" customHeight="false" outlineLevel="0" collapsed="false">
      <c r="B156" s="3" t="str">
        <f aca="false">IF(COUNTIF(Final_CB_O2_V5!$B$2:$B$535,A156)&gt;=1,"YES","NO")</f>
        <v>NO</v>
      </c>
      <c r="D156" s="3" t="str">
        <f aca="false">IF(COUNTIF(Final_CB_O2_V5!$C$2:$C$535,C156)&gt;=1,"YES","NO")</f>
        <v>NO</v>
      </c>
      <c r="G156" s="4"/>
      <c r="H156" s="4"/>
    </row>
    <row r="157" customFormat="false" ht="15.75" hidden="false" customHeight="false" outlineLevel="0" collapsed="false">
      <c r="B157" s="3" t="str">
        <f aca="false">IF(COUNTIF(Final_CB_O2_V5!$B$2:$B$535,A157)&gt;=1,"YES","NO")</f>
        <v>NO</v>
      </c>
      <c r="D157" s="3" t="str">
        <f aca="false">IF(COUNTIF(Final_CB_O2_V5!$C$2:$C$535,C157)&gt;=1,"YES","NO")</f>
        <v>NO</v>
      </c>
      <c r="G157" s="4"/>
      <c r="H157" s="4"/>
    </row>
    <row r="158" customFormat="false" ht="15.75" hidden="false" customHeight="false" outlineLevel="0" collapsed="false">
      <c r="B158" s="3" t="str">
        <f aca="false">IF(COUNTIF(Final_CB_O2_V5!$B$2:$B$535,A158)&gt;=1,"YES","NO")</f>
        <v>NO</v>
      </c>
      <c r="D158" s="3" t="str">
        <f aca="false">IF(COUNTIF(Final_CB_O2_V5!$C$2:$C$535,C158)&gt;=1,"YES","NO")</f>
        <v>NO</v>
      </c>
      <c r="G158" s="4"/>
      <c r="H158" s="4"/>
    </row>
    <row r="159" customFormat="false" ht="15.75" hidden="false" customHeight="false" outlineLevel="0" collapsed="false">
      <c r="B159" s="3" t="str">
        <f aca="false">IF(COUNTIF(Final_CB_O2_V5!$B$2:$B$535,A159)&gt;=1,"YES","NO")</f>
        <v>NO</v>
      </c>
      <c r="D159" s="3" t="str">
        <f aca="false">IF(COUNTIF(Final_CB_O2_V5!$C$2:$C$535,C159)&gt;=1,"YES","NO")</f>
        <v>NO</v>
      </c>
      <c r="G159" s="4"/>
      <c r="H159" s="4"/>
    </row>
    <row r="160" customFormat="false" ht="15.75" hidden="false" customHeight="false" outlineLevel="0" collapsed="false">
      <c r="B160" s="3" t="str">
        <f aca="false">IF(COUNTIF(Final_CB_O2_V5!$B$2:$B$535,A160)&gt;=1,"YES","NO")</f>
        <v>NO</v>
      </c>
      <c r="D160" s="3" t="str">
        <f aca="false">IF(COUNTIF(Final_CB_O2_V5!$C$2:$C$535,C160)&gt;=1,"YES","NO")</f>
        <v>NO</v>
      </c>
      <c r="G160" s="4"/>
      <c r="H160" s="4"/>
    </row>
    <row r="161" customFormat="false" ht="15.75" hidden="false" customHeight="false" outlineLevel="0" collapsed="false">
      <c r="B161" s="3" t="str">
        <f aca="false">IF(COUNTIF(Final_CB_O2_V5!$B$2:$B$535,A161)&gt;=1,"YES","NO")</f>
        <v>NO</v>
      </c>
      <c r="D161" s="3" t="str">
        <f aca="false">IF(COUNTIF(Final_CB_O2_V5!$C$2:$C$535,C161)&gt;=1,"YES","NO")</f>
        <v>NO</v>
      </c>
      <c r="G161" s="4"/>
      <c r="H161" s="4"/>
    </row>
    <row r="162" customFormat="false" ht="15.75" hidden="false" customHeight="false" outlineLevel="0" collapsed="false">
      <c r="B162" s="3" t="str">
        <f aca="false">IF(COUNTIF(Final_CB_O2_V5!$B$2:$B$535,A162)&gt;=1,"YES","NO")</f>
        <v>NO</v>
      </c>
      <c r="D162" s="3" t="str">
        <f aca="false">IF(COUNTIF(Final_CB_O2_V5!$C$2:$C$535,C162)&gt;=1,"YES","NO")</f>
        <v>NO</v>
      </c>
      <c r="G162" s="4"/>
      <c r="H162" s="4"/>
    </row>
    <row r="163" customFormat="false" ht="15.75" hidden="false" customHeight="false" outlineLevel="0" collapsed="false">
      <c r="B163" s="3" t="str">
        <f aca="false">IF(COUNTIF(Final_CB_O2_V5!$B$2:$B$535,A163)&gt;=1,"YES","NO")</f>
        <v>NO</v>
      </c>
      <c r="D163" s="3" t="str">
        <f aca="false">IF(COUNTIF(Final_CB_O2_V5!$C$2:$C$535,C163)&gt;=1,"YES","NO")</f>
        <v>NO</v>
      </c>
      <c r="G163" s="4"/>
      <c r="H163" s="4"/>
    </row>
    <row r="164" customFormat="false" ht="15.75" hidden="false" customHeight="false" outlineLevel="0" collapsed="false">
      <c r="B164" s="3" t="str">
        <f aca="false">IF(COUNTIF(Final_CB_O2_V5!$B$2:$B$535,A164)&gt;=1,"YES","NO")</f>
        <v>NO</v>
      </c>
      <c r="D164" s="3" t="str">
        <f aca="false">IF(COUNTIF(Final_CB_O2_V5!$C$2:$C$535,C164)&gt;=1,"YES","NO")</f>
        <v>NO</v>
      </c>
      <c r="G164" s="4"/>
      <c r="H164" s="4"/>
    </row>
    <row r="165" customFormat="false" ht="15.75" hidden="false" customHeight="false" outlineLevel="0" collapsed="false">
      <c r="B165" s="3" t="str">
        <f aca="false">IF(COUNTIF(Final_CB_O2_V5!$B$2:$B$535,A165)&gt;=1,"YES","NO")</f>
        <v>NO</v>
      </c>
      <c r="D165" s="3" t="str">
        <f aca="false">IF(COUNTIF(Final_CB_O2_V5!$C$2:$C$535,C165)&gt;=1,"YES","NO")</f>
        <v>NO</v>
      </c>
      <c r="G165" s="4"/>
      <c r="H165" s="4"/>
    </row>
    <row r="166" customFormat="false" ht="15.75" hidden="false" customHeight="false" outlineLevel="0" collapsed="false">
      <c r="B166" s="3" t="str">
        <f aca="false">IF(COUNTIF(Final_CB_O2_V5!$B$2:$B$535,A166)&gt;=1,"YES","NO")</f>
        <v>NO</v>
      </c>
      <c r="D166" s="3" t="str">
        <f aca="false">IF(COUNTIF(Final_CB_O2_V5!$C$2:$C$535,C166)&gt;=1,"YES","NO")</f>
        <v>NO</v>
      </c>
      <c r="G166" s="4"/>
      <c r="H166" s="4"/>
    </row>
    <row r="167" customFormat="false" ht="15.75" hidden="false" customHeight="false" outlineLevel="0" collapsed="false">
      <c r="B167" s="3" t="str">
        <f aca="false">IF(COUNTIF(Final_CB_O2_V5!$B$2:$B$535,A167)&gt;=1,"YES","NO")</f>
        <v>NO</v>
      </c>
      <c r="D167" s="3" t="str">
        <f aca="false">IF(COUNTIF(Final_CB_O2_V5!$C$2:$C$535,C167)&gt;=1,"YES","NO")</f>
        <v>NO</v>
      </c>
      <c r="G167" s="4"/>
      <c r="H167" s="4"/>
    </row>
    <row r="168" customFormat="false" ht="15.75" hidden="false" customHeight="false" outlineLevel="0" collapsed="false">
      <c r="B168" s="3" t="str">
        <f aca="false">IF(COUNTIF(Final_CB_O2_V5!$B$2:$B$535,A168)&gt;=1,"YES","NO")</f>
        <v>NO</v>
      </c>
      <c r="D168" s="3" t="str">
        <f aca="false">IF(COUNTIF(Final_CB_O2_V5!$C$2:$C$535,C168)&gt;=1,"YES","NO")</f>
        <v>NO</v>
      </c>
      <c r="G168" s="4"/>
      <c r="H168" s="4"/>
    </row>
    <row r="169" customFormat="false" ht="15.75" hidden="false" customHeight="false" outlineLevel="0" collapsed="false">
      <c r="B169" s="3" t="str">
        <f aca="false">IF(COUNTIF(Final_CB_O2_V5!$B$2:$B$535,A169)&gt;=1,"YES","NO")</f>
        <v>NO</v>
      </c>
      <c r="D169" s="3" t="str">
        <f aca="false">IF(COUNTIF(Final_CB_O2_V5!$C$2:$C$535,C169)&gt;=1,"YES","NO")</f>
        <v>NO</v>
      </c>
      <c r="G169" s="4"/>
      <c r="H169" s="4"/>
    </row>
    <row r="170" customFormat="false" ht="15.75" hidden="false" customHeight="false" outlineLevel="0" collapsed="false">
      <c r="B170" s="3" t="str">
        <f aca="false">IF(COUNTIF(Final_CB_O2_V5!$B$2:$B$535,A170)&gt;=1,"YES","NO")</f>
        <v>NO</v>
      </c>
      <c r="D170" s="3" t="str">
        <f aca="false">IF(COUNTIF(Final_CB_O2_V5!$C$2:$C$535,C170)&gt;=1,"YES","NO")</f>
        <v>NO</v>
      </c>
      <c r="G170" s="4"/>
      <c r="H170" s="4"/>
    </row>
    <row r="171" customFormat="false" ht="15.75" hidden="false" customHeight="false" outlineLevel="0" collapsed="false">
      <c r="B171" s="3" t="str">
        <f aca="false">IF(COUNTIF(Final_CB_O2_V5!$B$2:$B$535,A171)&gt;=1,"YES","NO")</f>
        <v>NO</v>
      </c>
      <c r="D171" s="3" t="str">
        <f aca="false">IF(COUNTIF(Final_CB_O2_V5!$C$2:$C$535,C171)&gt;=1,"YES","NO")</f>
        <v>NO</v>
      </c>
      <c r="G171" s="4"/>
      <c r="H171" s="4"/>
    </row>
    <row r="172" customFormat="false" ht="15.75" hidden="false" customHeight="false" outlineLevel="0" collapsed="false">
      <c r="B172" s="3" t="str">
        <f aca="false">IF(COUNTIF(Final_CB_O2_V5!$B$2:$B$535,A172)&gt;=1,"YES","NO")</f>
        <v>NO</v>
      </c>
      <c r="D172" s="3" t="str">
        <f aca="false">IF(COUNTIF(Final_CB_O2_V5!$C$2:$C$535,C172)&gt;=1,"YES","NO")</f>
        <v>NO</v>
      </c>
      <c r="G172" s="4"/>
      <c r="H172" s="4"/>
    </row>
    <row r="173" customFormat="false" ht="15.75" hidden="false" customHeight="false" outlineLevel="0" collapsed="false">
      <c r="B173" s="3" t="str">
        <f aca="false">IF(COUNTIF(Final_CB_O2_V5!$B$2:$B$535,A173)&gt;=1,"YES","NO")</f>
        <v>NO</v>
      </c>
      <c r="D173" s="3" t="str">
        <f aca="false">IF(COUNTIF(Final_CB_O2_V5!$C$2:$C$535,C173)&gt;=1,"YES","NO")</f>
        <v>NO</v>
      </c>
      <c r="G173" s="4"/>
      <c r="H173" s="4"/>
    </row>
    <row r="174" customFormat="false" ht="15.75" hidden="false" customHeight="false" outlineLevel="0" collapsed="false">
      <c r="B174" s="3" t="str">
        <f aca="false">IF(COUNTIF(Final_CB_O2_V5!$B$2:$B$535,A174)&gt;=1,"YES","NO")</f>
        <v>NO</v>
      </c>
      <c r="D174" s="3" t="str">
        <f aca="false">IF(COUNTIF(Final_CB_O2_V5!$C$2:$C$535,C174)&gt;=1,"YES","NO")</f>
        <v>NO</v>
      </c>
      <c r="G174" s="4"/>
      <c r="H174" s="4"/>
    </row>
    <row r="175" customFormat="false" ht="15.75" hidden="false" customHeight="false" outlineLevel="0" collapsed="false">
      <c r="B175" s="3" t="str">
        <f aca="false">IF(COUNTIF(Final_CB_O2_V5!$B$2:$B$535,A175)&gt;=1,"YES","NO")</f>
        <v>NO</v>
      </c>
      <c r="D175" s="3" t="str">
        <f aca="false">IF(COUNTIF(Final_CB_O2_V5!$C$2:$C$535,C175)&gt;=1,"YES","NO")</f>
        <v>NO</v>
      </c>
      <c r="G175" s="4"/>
      <c r="H175" s="4"/>
    </row>
    <row r="176" customFormat="false" ht="15.75" hidden="false" customHeight="false" outlineLevel="0" collapsed="false">
      <c r="B176" s="3" t="str">
        <f aca="false">IF(COUNTIF(Final_CB_O2_V5!$B$2:$B$535,A176)&gt;=1,"YES","NO")</f>
        <v>NO</v>
      </c>
      <c r="D176" s="3" t="str">
        <f aca="false">IF(COUNTIF(Final_CB_O2_V5!$C$2:$C$535,C176)&gt;=1,"YES","NO")</f>
        <v>NO</v>
      </c>
      <c r="G176" s="4"/>
      <c r="H176" s="4"/>
    </row>
    <row r="177" customFormat="false" ht="15.75" hidden="false" customHeight="false" outlineLevel="0" collapsed="false">
      <c r="B177" s="3" t="str">
        <f aca="false">IF(COUNTIF(Final_CB_O2_V5!$B$2:$B$535,A177)&gt;=1,"YES","NO")</f>
        <v>NO</v>
      </c>
      <c r="D177" s="3" t="str">
        <f aca="false">IF(COUNTIF(Final_CB_O2_V5!$C$2:$C$535,C177)&gt;=1,"YES","NO")</f>
        <v>NO</v>
      </c>
      <c r="G177" s="4"/>
      <c r="H177" s="4"/>
    </row>
    <row r="178" customFormat="false" ht="15.75" hidden="false" customHeight="false" outlineLevel="0" collapsed="false">
      <c r="B178" s="3" t="str">
        <f aca="false">IF(COUNTIF(Final_CB_O2_V5!$B$2:$B$535,A178)&gt;=1,"YES","NO")</f>
        <v>NO</v>
      </c>
      <c r="D178" s="3" t="str">
        <f aca="false">IF(COUNTIF(Final_CB_O2_V5!$C$2:$C$535,C178)&gt;=1,"YES","NO")</f>
        <v>NO</v>
      </c>
      <c r="G178" s="4"/>
      <c r="H178" s="4"/>
    </row>
    <row r="179" customFormat="false" ht="15.75" hidden="false" customHeight="false" outlineLevel="0" collapsed="false">
      <c r="B179" s="3" t="str">
        <f aca="false">IF(COUNTIF(Final_CB_O2_V5!$B$2:$B$535,A179)&gt;=1,"YES","NO")</f>
        <v>NO</v>
      </c>
      <c r="D179" s="3" t="str">
        <f aca="false">IF(COUNTIF(Final_CB_O2_V5!$C$2:$C$535,C179)&gt;=1,"YES","NO")</f>
        <v>NO</v>
      </c>
      <c r="G179" s="4"/>
      <c r="H179" s="4"/>
    </row>
    <row r="180" customFormat="false" ht="15.75" hidden="false" customHeight="false" outlineLevel="0" collapsed="false">
      <c r="B180" s="3" t="str">
        <f aca="false">IF(COUNTIF(Final_CB_O2_V5!$B$2:$B$535,A180)&gt;=1,"YES","NO")</f>
        <v>NO</v>
      </c>
      <c r="D180" s="3" t="str">
        <f aca="false">IF(COUNTIF(Final_CB_O2_V5!$C$2:$C$535,C180)&gt;=1,"YES","NO")</f>
        <v>NO</v>
      </c>
      <c r="G180" s="4"/>
      <c r="H180" s="4"/>
    </row>
    <row r="181" customFormat="false" ht="15.75" hidden="false" customHeight="false" outlineLevel="0" collapsed="false">
      <c r="B181" s="3" t="str">
        <f aca="false">IF(COUNTIF(Final_CB_O2_V5!$B$2:$B$535,A181)&gt;=1,"YES","NO")</f>
        <v>NO</v>
      </c>
      <c r="D181" s="3" t="str">
        <f aca="false">IF(COUNTIF(Final_CB_O2_V5!$C$2:$C$535,C181)&gt;=1,"YES","NO")</f>
        <v>NO</v>
      </c>
      <c r="G181" s="4"/>
      <c r="H181" s="4"/>
    </row>
    <row r="182" customFormat="false" ht="15.75" hidden="false" customHeight="false" outlineLevel="0" collapsed="false">
      <c r="B182" s="3" t="str">
        <f aca="false">IF(COUNTIF(Final_CB_O2_V5!$B$2:$B$535,A182)&gt;=1,"YES","NO")</f>
        <v>NO</v>
      </c>
      <c r="D182" s="3" t="str">
        <f aca="false">IF(COUNTIF(Final_CB_O2_V5!$C$2:$C$535,C182)&gt;=1,"YES","NO")</f>
        <v>NO</v>
      </c>
      <c r="G182" s="4"/>
      <c r="H182" s="4"/>
    </row>
    <row r="183" customFormat="false" ht="15.75" hidden="false" customHeight="false" outlineLevel="0" collapsed="false">
      <c r="B183" s="3" t="str">
        <f aca="false">IF(COUNTIF(Final_CB_O2_V5!$B$2:$B$535,A183)&gt;=1,"YES","NO")</f>
        <v>NO</v>
      </c>
      <c r="D183" s="3" t="str">
        <f aca="false">IF(COUNTIF(Final_CB_O2_V5!$C$2:$C$535,C183)&gt;=1,"YES","NO")</f>
        <v>NO</v>
      </c>
      <c r="G183" s="4"/>
      <c r="H183" s="4"/>
    </row>
    <row r="184" customFormat="false" ht="15.75" hidden="false" customHeight="false" outlineLevel="0" collapsed="false">
      <c r="B184" s="3" t="str">
        <f aca="false">IF(COUNTIF(Final_CB_O2_V5!$B$2:$B$535,A184)&gt;=1,"YES","NO")</f>
        <v>NO</v>
      </c>
      <c r="D184" s="3" t="str">
        <f aca="false">IF(COUNTIF(Final_CB_O2_V5!$C$2:$C$535,C184)&gt;=1,"YES","NO")</f>
        <v>NO</v>
      </c>
      <c r="G184" s="4"/>
      <c r="H184" s="4"/>
    </row>
    <row r="185" customFormat="false" ht="15.75" hidden="false" customHeight="false" outlineLevel="0" collapsed="false">
      <c r="B185" s="3" t="str">
        <f aca="false">IF(COUNTIF(Final_CB_O2_V5!$B$2:$B$535,A185)&gt;=1,"YES","NO")</f>
        <v>NO</v>
      </c>
      <c r="D185" s="3" t="str">
        <f aca="false">IF(COUNTIF(Final_CB_O2_V5!$C$2:$C$535,C185)&gt;=1,"YES","NO")</f>
        <v>NO</v>
      </c>
      <c r="G185" s="4"/>
      <c r="H185" s="4"/>
    </row>
    <row r="186" customFormat="false" ht="15.75" hidden="false" customHeight="false" outlineLevel="0" collapsed="false">
      <c r="B186" s="3" t="str">
        <f aca="false">IF(COUNTIF(Final_CB_O2_V5!$B$2:$B$535,A186)&gt;=1,"YES","NO")</f>
        <v>NO</v>
      </c>
      <c r="D186" s="3" t="str">
        <f aca="false">IF(COUNTIF(Final_CB_O2_V5!$C$2:$C$535,C186)&gt;=1,"YES","NO")</f>
        <v>NO</v>
      </c>
      <c r="G186" s="4"/>
      <c r="H186" s="4"/>
    </row>
    <row r="187" customFormat="false" ht="15.75" hidden="false" customHeight="false" outlineLevel="0" collapsed="false">
      <c r="B187" s="3" t="str">
        <f aca="false">IF(COUNTIF(Final_CB_O2_V5!$B$2:$B$535,A187)&gt;=1,"YES","NO")</f>
        <v>NO</v>
      </c>
      <c r="D187" s="3" t="str">
        <f aca="false">IF(COUNTIF(Final_CB_O2_V5!$C$2:$C$535,C187)&gt;=1,"YES","NO")</f>
        <v>NO</v>
      </c>
      <c r="G187" s="4"/>
      <c r="H187" s="4"/>
    </row>
    <row r="188" customFormat="false" ht="15.75" hidden="false" customHeight="false" outlineLevel="0" collapsed="false">
      <c r="B188" s="3" t="str">
        <f aca="false">IF(COUNTIF(Final_CB_O2_V5!$B$2:$B$535,A188)&gt;=1,"YES","NO")</f>
        <v>NO</v>
      </c>
      <c r="D188" s="3" t="str">
        <f aca="false">IF(COUNTIF(Final_CB_O2_V5!$C$2:$C$535,C188)&gt;=1,"YES","NO")</f>
        <v>NO</v>
      </c>
      <c r="G188" s="4"/>
      <c r="H188" s="4"/>
    </row>
    <row r="189" customFormat="false" ht="15.75" hidden="false" customHeight="false" outlineLevel="0" collapsed="false">
      <c r="B189" s="3" t="str">
        <f aca="false">IF(COUNTIF(Final_CB_O2_V5!$B$2:$B$535,A189)&gt;=1,"YES","NO")</f>
        <v>NO</v>
      </c>
      <c r="D189" s="3" t="str">
        <f aca="false">IF(COUNTIF(Final_CB_O2_V5!$C$2:$C$535,C189)&gt;=1,"YES","NO")</f>
        <v>NO</v>
      </c>
      <c r="G189" s="4"/>
      <c r="H189" s="4"/>
    </row>
    <row r="190" customFormat="false" ht="15.75" hidden="false" customHeight="false" outlineLevel="0" collapsed="false">
      <c r="B190" s="3" t="str">
        <f aca="false">IF(COUNTIF(Final_CB_O2_V5!$B$2:$B$535,A190)&gt;=1,"YES","NO")</f>
        <v>NO</v>
      </c>
      <c r="D190" s="3" t="str">
        <f aca="false">IF(COUNTIF(Final_CB_O2_V5!$C$2:$C$535,C190)&gt;=1,"YES","NO")</f>
        <v>NO</v>
      </c>
      <c r="G190" s="4"/>
      <c r="H190" s="4"/>
    </row>
    <row r="191" customFormat="false" ht="15.75" hidden="false" customHeight="false" outlineLevel="0" collapsed="false">
      <c r="B191" s="3" t="str">
        <f aca="false">IF(COUNTIF(Final_CB_O2_V5!$B$2:$B$535,A191)&gt;=1,"YES","NO")</f>
        <v>NO</v>
      </c>
      <c r="D191" s="3" t="str">
        <f aca="false">IF(COUNTIF(Final_CB_O2_V5!$C$2:$C$535,C191)&gt;=1,"YES","NO")</f>
        <v>NO</v>
      </c>
      <c r="G191" s="4"/>
      <c r="H191" s="4"/>
    </row>
    <row r="192" customFormat="false" ht="15.75" hidden="false" customHeight="false" outlineLevel="0" collapsed="false">
      <c r="B192" s="3" t="str">
        <f aca="false">IF(COUNTIF(Final_CB_O2_V5!$B$2:$B$535,A192)&gt;=1,"YES","NO")</f>
        <v>NO</v>
      </c>
      <c r="D192" s="3" t="str">
        <f aca="false">IF(COUNTIF(Final_CB_O2_V5!$C$2:$C$535,C192)&gt;=1,"YES","NO")</f>
        <v>NO</v>
      </c>
      <c r="G192" s="4"/>
      <c r="H192" s="4"/>
    </row>
    <row r="193" customFormat="false" ht="15.75" hidden="false" customHeight="false" outlineLevel="0" collapsed="false">
      <c r="B193" s="3" t="str">
        <f aca="false">IF(COUNTIF(Final_CB_O2_V5!$B$2:$B$535,A193)&gt;=1,"YES","NO")</f>
        <v>NO</v>
      </c>
      <c r="D193" s="3" t="str">
        <f aca="false">IF(COUNTIF(Final_CB_O2_V5!$C$2:$C$535,C193)&gt;=1,"YES","NO")</f>
        <v>NO</v>
      </c>
      <c r="G193" s="4"/>
      <c r="H193" s="4"/>
    </row>
    <row r="194" customFormat="false" ht="15.75" hidden="false" customHeight="false" outlineLevel="0" collapsed="false">
      <c r="B194" s="3" t="str">
        <f aca="false">IF(COUNTIF(Final_CB_O2_V5!$B$2:$B$535,A194)&gt;=1,"YES","NO")</f>
        <v>NO</v>
      </c>
      <c r="D194" s="3" t="str">
        <f aca="false">IF(COUNTIF(Final_CB_O2_V5!$C$2:$C$535,C194)&gt;=1,"YES","NO")</f>
        <v>NO</v>
      </c>
      <c r="G194" s="4"/>
      <c r="H194" s="4"/>
    </row>
    <row r="195" customFormat="false" ht="15.75" hidden="false" customHeight="false" outlineLevel="0" collapsed="false">
      <c r="B195" s="3" t="str">
        <f aca="false">IF(COUNTIF(Final_CB_O2_V5!$B$2:$B$535,A195)&gt;=1,"YES","NO")</f>
        <v>NO</v>
      </c>
      <c r="D195" s="3" t="str">
        <f aca="false">IF(COUNTIF(Final_CB_O2_V5!$C$2:$C$535,C195)&gt;=1,"YES","NO")</f>
        <v>NO</v>
      </c>
      <c r="G195" s="4"/>
      <c r="H195" s="4"/>
    </row>
    <row r="196" customFormat="false" ht="15.75" hidden="false" customHeight="false" outlineLevel="0" collapsed="false">
      <c r="B196" s="3" t="str">
        <f aca="false">IF(COUNTIF(Final_CB_O2_V5!$B$2:$B$535,A196)&gt;=1,"YES","NO")</f>
        <v>NO</v>
      </c>
      <c r="D196" s="3" t="str">
        <f aca="false">IF(COUNTIF(Final_CB_O2_V5!$C$2:$C$535,C196)&gt;=1,"YES","NO")</f>
        <v>NO</v>
      </c>
      <c r="G196" s="4"/>
      <c r="H196" s="4"/>
    </row>
    <row r="197" customFormat="false" ht="15.75" hidden="false" customHeight="false" outlineLevel="0" collapsed="false">
      <c r="B197" s="3" t="str">
        <f aca="false">IF(COUNTIF(Final_CB_O2_V5!$B$2:$B$535,A197)&gt;=1,"YES","NO")</f>
        <v>NO</v>
      </c>
      <c r="D197" s="3" t="str">
        <f aca="false">IF(COUNTIF(Final_CB_O2_V5!$C$2:$C$535,C197)&gt;=1,"YES","NO")</f>
        <v>NO</v>
      </c>
      <c r="G197" s="4"/>
      <c r="H197" s="4"/>
    </row>
    <row r="198" customFormat="false" ht="15.75" hidden="false" customHeight="false" outlineLevel="0" collapsed="false">
      <c r="B198" s="3" t="str">
        <f aca="false">IF(COUNTIF(Final_CB_O2_V5!$B$2:$B$535,A198)&gt;=1,"YES","NO")</f>
        <v>NO</v>
      </c>
      <c r="D198" s="3" t="str">
        <f aca="false">IF(COUNTIF(Final_CB_O2_V5!$C$2:$C$535,C198)&gt;=1,"YES","NO")</f>
        <v>NO</v>
      </c>
      <c r="G198" s="4"/>
      <c r="H198" s="4"/>
    </row>
    <row r="199" customFormat="false" ht="15.75" hidden="false" customHeight="false" outlineLevel="0" collapsed="false">
      <c r="B199" s="3" t="str">
        <f aca="false">IF(COUNTIF(Final_CB_O2_V5!$B$2:$B$535,A199)&gt;=1,"YES","NO")</f>
        <v>NO</v>
      </c>
      <c r="D199" s="3" t="str">
        <f aca="false">IF(COUNTIF(Final_CB_O2_V5!$C$2:$C$535,C199)&gt;=1,"YES","NO")</f>
        <v>NO</v>
      </c>
      <c r="G199" s="4"/>
      <c r="H199" s="4"/>
    </row>
    <row r="200" customFormat="false" ht="15.75" hidden="false" customHeight="false" outlineLevel="0" collapsed="false">
      <c r="B200" s="3" t="str">
        <f aca="false">IF(COUNTIF(Final_CB_O2_V5!$B$2:$B$535,A200)&gt;=1,"YES","NO")</f>
        <v>NO</v>
      </c>
      <c r="D200" s="3" t="str">
        <f aca="false">IF(COUNTIF(Final_CB_O2_V5!$C$2:$C$535,C200)&gt;=1,"YES","NO")</f>
        <v>NO</v>
      </c>
      <c r="G200" s="4"/>
      <c r="H200" s="4"/>
    </row>
    <row r="201" customFormat="false" ht="15.75" hidden="false" customHeight="false" outlineLevel="0" collapsed="false">
      <c r="B201" s="3" t="str">
        <f aca="false">IF(COUNTIF(Final_CB_O2_V5!$B$2:$B$535,A201)&gt;=1,"YES","NO")</f>
        <v>NO</v>
      </c>
      <c r="D201" s="3" t="str">
        <f aca="false">IF(COUNTIF(Final_CB_O2_V5!$C$2:$C$535,C201)&gt;=1,"YES","NO")</f>
        <v>NO</v>
      </c>
      <c r="G201" s="4"/>
      <c r="H201" s="4"/>
    </row>
    <row r="202" customFormat="false" ht="15.75" hidden="false" customHeight="false" outlineLevel="0" collapsed="false">
      <c r="B202" s="3" t="str">
        <f aca="false">IF(COUNTIF(Final_CB_O2_V5!$B$2:$B$535,A202)&gt;=1,"YES","NO")</f>
        <v>NO</v>
      </c>
      <c r="D202" s="3" t="str">
        <f aca="false">IF(COUNTIF(Final_CB_O2_V5!$C$2:$C$535,C202)&gt;=1,"YES","NO")</f>
        <v>NO</v>
      </c>
      <c r="G202" s="4"/>
      <c r="H202" s="4"/>
    </row>
    <row r="203" customFormat="false" ht="15.75" hidden="false" customHeight="false" outlineLevel="0" collapsed="false">
      <c r="B203" s="3" t="str">
        <f aca="false">IF(COUNTIF(Final_CB_O2_V5!$B$2:$B$535,A203)&gt;=1,"YES","NO")</f>
        <v>NO</v>
      </c>
      <c r="D203" s="3" t="str">
        <f aca="false">IF(COUNTIF(Final_CB_O2_V5!$C$2:$C$535,C203)&gt;=1,"YES","NO")</f>
        <v>NO</v>
      </c>
      <c r="G203" s="4"/>
      <c r="H203" s="4"/>
    </row>
    <row r="204" customFormat="false" ht="15.75" hidden="false" customHeight="false" outlineLevel="0" collapsed="false">
      <c r="B204" s="3" t="str">
        <f aca="false">IF(COUNTIF(Final_CB_O2_V5!$B$2:$B$535,A204)&gt;=1,"YES","NO")</f>
        <v>NO</v>
      </c>
      <c r="D204" s="3" t="str">
        <f aca="false">IF(COUNTIF(Final_CB_O2_V5!$C$2:$C$535,C204)&gt;=1,"YES","NO")</f>
        <v>NO</v>
      </c>
      <c r="G204" s="4"/>
      <c r="H204" s="4"/>
    </row>
    <row r="205" customFormat="false" ht="15.75" hidden="false" customHeight="false" outlineLevel="0" collapsed="false">
      <c r="B205" s="3" t="str">
        <f aca="false">IF(COUNTIF(Final_CB_O2_V5!$B$2:$B$535,A205)&gt;=1,"YES","NO")</f>
        <v>NO</v>
      </c>
      <c r="D205" s="3" t="str">
        <f aca="false">IF(COUNTIF(Final_CB_O2_V5!$C$2:$C$535,C205)&gt;=1,"YES","NO")</f>
        <v>NO</v>
      </c>
      <c r="G205" s="4"/>
      <c r="H205" s="4"/>
    </row>
    <row r="206" customFormat="false" ht="15.75" hidden="false" customHeight="false" outlineLevel="0" collapsed="false">
      <c r="B206" s="3" t="str">
        <f aca="false">IF(COUNTIF(Final_CB_O2_V5!$B$2:$B$535,A206)&gt;=1,"YES","NO")</f>
        <v>NO</v>
      </c>
      <c r="D206" s="3" t="str">
        <f aca="false">IF(COUNTIF(Final_CB_O2_V5!$C$2:$C$535,C206)&gt;=1,"YES","NO")</f>
        <v>NO</v>
      </c>
      <c r="G206" s="4"/>
      <c r="H206" s="4"/>
    </row>
    <row r="207" customFormat="false" ht="15.75" hidden="false" customHeight="false" outlineLevel="0" collapsed="false">
      <c r="B207" s="3" t="str">
        <f aca="false">IF(COUNTIF(Final_CB_O2_V5!$B$2:$B$535,A207)&gt;=1,"YES","NO")</f>
        <v>NO</v>
      </c>
      <c r="D207" s="3" t="str">
        <f aca="false">IF(COUNTIF(Final_CB_O2_V5!$C$2:$C$535,C207)&gt;=1,"YES","NO")</f>
        <v>NO</v>
      </c>
      <c r="G207" s="4"/>
      <c r="H207" s="4"/>
    </row>
    <row r="208" customFormat="false" ht="15.75" hidden="false" customHeight="false" outlineLevel="0" collapsed="false">
      <c r="B208" s="3" t="str">
        <f aca="false">IF(COUNTIF(Final_CB_O2_V5!$B$2:$B$535,A208)&gt;=1,"YES","NO")</f>
        <v>NO</v>
      </c>
      <c r="D208" s="3" t="str">
        <f aca="false">IF(COUNTIF(Final_CB_O2_V5!$C$2:$C$535,C208)&gt;=1,"YES","NO")</f>
        <v>NO</v>
      </c>
      <c r="G208" s="4"/>
      <c r="H208" s="4"/>
    </row>
    <row r="209" customFormat="false" ht="15.75" hidden="false" customHeight="false" outlineLevel="0" collapsed="false">
      <c r="B209" s="3" t="str">
        <f aca="false">IF(COUNTIF(Final_CB_O2_V5!$B$2:$B$535,A209)&gt;=1,"YES","NO")</f>
        <v>NO</v>
      </c>
      <c r="D209" s="3" t="str">
        <f aca="false">IF(COUNTIF(Final_CB_O2_V5!$C$2:$C$535,C209)&gt;=1,"YES","NO")</f>
        <v>NO</v>
      </c>
      <c r="G209" s="4"/>
      <c r="H209" s="4"/>
    </row>
    <row r="210" customFormat="false" ht="15.75" hidden="false" customHeight="false" outlineLevel="0" collapsed="false">
      <c r="B210" s="3" t="str">
        <f aca="false">IF(COUNTIF(Final_CB_O2_V5!$B$2:$B$535,A210)&gt;=1,"YES","NO")</f>
        <v>NO</v>
      </c>
      <c r="D210" s="3" t="str">
        <f aca="false">IF(COUNTIF(Final_CB_O2_V5!$C$2:$C$535,C210)&gt;=1,"YES","NO")</f>
        <v>NO</v>
      </c>
      <c r="G210" s="4"/>
      <c r="H210" s="4"/>
    </row>
    <row r="211" customFormat="false" ht="15.75" hidden="false" customHeight="false" outlineLevel="0" collapsed="false">
      <c r="B211" s="3" t="str">
        <f aca="false">IF(COUNTIF(Final_CB_O2_V5!$B$2:$B$535,A211)&gt;=1,"YES","NO")</f>
        <v>NO</v>
      </c>
      <c r="D211" s="3" t="str">
        <f aca="false">IF(COUNTIF(Final_CB_O2_V5!$C$2:$C$535,C211)&gt;=1,"YES","NO")</f>
        <v>NO</v>
      </c>
      <c r="G211" s="4"/>
      <c r="H211" s="4"/>
    </row>
    <row r="212" customFormat="false" ht="15.75" hidden="false" customHeight="false" outlineLevel="0" collapsed="false">
      <c r="B212" s="3" t="str">
        <f aca="false">IF(COUNTIF(Final_CB_O2_V5!$B$2:$B$535,A212)&gt;=1,"YES","NO")</f>
        <v>NO</v>
      </c>
      <c r="D212" s="3" t="str">
        <f aca="false">IF(COUNTIF(Final_CB_O2_V5!$C$2:$C$535,C212)&gt;=1,"YES","NO")</f>
        <v>NO</v>
      </c>
      <c r="G212" s="4"/>
      <c r="H212" s="4"/>
    </row>
    <row r="213" customFormat="false" ht="15.75" hidden="false" customHeight="false" outlineLevel="0" collapsed="false">
      <c r="B213" s="3" t="str">
        <f aca="false">IF(COUNTIF(Final_CB_O2_V5!$B$2:$B$535,A213)&gt;=1,"YES","NO")</f>
        <v>NO</v>
      </c>
      <c r="D213" s="3" t="str">
        <f aca="false">IF(COUNTIF(Final_CB_O2_V5!$C$2:$C$535,C213)&gt;=1,"YES","NO")</f>
        <v>NO</v>
      </c>
      <c r="G213" s="4"/>
      <c r="H213" s="4"/>
    </row>
    <row r="214" customFormat="false" ht="15.75" hidden="false" customHeight="false" outlineLevel="0" collapsed="false">
      <c r="B214" s="3" t="str">
        <f aca="false">IF(COUNTIF(Final_CB_O2_V5!$B$2:$B$535,A214)&gt;=1,"YES","NO")</f>
        <v>NO</v>
      </c>
      <c r="D214" s="3" t="str">
        <f aca="false">IF(COUNTIF(Final_CB_O2_V5!$C$2:$C$535,C214)&gt;=1,"YES","NO")</f>
        <v>NO</v>
      </c>
      <c r="G214" s="4"/>
      <c r="H214" s="4"/>
    </row>
    <row r="215" customFormat="false" ht="15.75" hidden="false" customHeight="false" outlineLevel="0" collapsed="false">
      <c r="B215" s="3" t="str">
        <f aca="false">IF(COUNTIF(Final_CB_O2_V5!$B$2:$B$535,A215)&gt;=1,"YES","NO")</f>
        <v>NO</v>
      </c>
      <c r="D215" s="3" t="str">
        <f aca="false">IF(COUNTIF(Final_CB_O2_V5!$C$2:$C$535,C215)&gt;=1,"YES","NO")</f>
        <v>NO</v>
      </c>
      <c r="G215" s="4"/>
      <c r="H215" s="4"/>
    </row>
    <row r="216" customFormat="false" ht="15.75" hidden="false" customHeight="false" outlineLevel="0" collapsed="false">
      <c r="B216" s="3" t="str">
        <f aca="false">IF(COUNTIF(Final_CB_O2_V5!$B$2:$B$535,A216)&gt;=1,"YES","NO")</f>
        <v>NO</v>
      </c>
      <c r="D216" s="3" t="str">
        <f aca="false">IF(COUNTIF(Final_CB_O2_V5!$C$2:$C$535,C216)&gt;=1,"YES","NO")</f>
        <v>NO</v>
      </c>
      <c r="G216" s="4"/>
      <c r="H216" s="4"/>
    </row>
    <row r="217" customFormat="false" ht="15.75" hidden="false" customHeight="false" outlineLevel="0" collapsed="false">
      <c r="B217" s="3" t="str">
        <f aca="false">IF(COUNTIF(Final_CB_O2_V5!$B$2:$B$535,A217)&gt;=1,"YES","NO")</f>
        <v>NO</v>
      </c>
      <c r="D217" s="3" t="str">
        <f aca="false">IF(COUNTIF(Final_CB_O2_V5!$C$2:$C$535,C217)&gt;=1,"YES","NO")</f>
        <v>NO</v>
      </c>
      <c r="G217" s="4"/>
      <c r="H217" s="4"/>
    </row>
    <row r="218" customFormat="false" ht="15.75" hidden="false" customHeight="false" outlineLevel="0" collapsed="false">
      <c r="B218" s="3" t="str">
        <f aca="false">IF(COUNTIF(Final_CB_O2_V5!$B$2:$B$535,A218)&gt;=1,"YES","NO")</f>
        <v>NO</v>
      </c>
      <c r="D218" s="3" t="str">
        <f aca="false">IF(COUNTIF(Final_CB_O2_V5!$C$2:$C$535,C218)&gt;=1,"YES","NO")</f>
        <v>NO</v>
      </c>
      <c r="G218" s="4"/>
      <c r="H218" s="4"/>
    </row>
    <row r="219" customFormat="false" ht="15.75" hidden="false" customHeight="false" outlineLevel="0" collapsed="false">
      <c r="B219" s="3" t="str">
        <f aca="false">IF(COUNTIF(Final_CB_O2_V5!$B$2:$B$535,A219)&gt;=1,"YES","NO")</f>
        <v>NO</v>
      </c>
      <c r="D219" s="3" t="str">
        <f aca="false">IF(COUNTIF(Final_CB_O2_V5!$C$2:$C$535,C219)&gt;=1,"YES","NO")</f>
        <v>NO</v>
      </c>
      <c r="G219" s="4"/>
      <c r="H219" s="4"/>
    </row>
    <row r="220" customFormat="false" ht="15.75" hidden="false" customHeight="false" outlineLevel="0" collapsed="false">
      <c r="B220" s="3" t="str">
        <f aca="false">IF(COUNTIF(Final_CB_O2_V5!$B$2:$B$535,A220)&gt;=1,"YES","NO")</f>
        <v>NO</v>
      </c>
      <c r="D220" s="3" t="str">
        <f aca="false">IF(COUNTIF(Final_CB_O2_V5!$C$2:$C$535,C220)&gt;=1,"YES","NO")</f>
        <v>NO</v>
      </c>
      <c r="G220" s="4"/>
      <c r="H220" s="4"/>
    </row>
    <row r="221" customFormat="false" ht="15.75" hidden="false" customHeight="false" outlineLevel="0" collapsed="false">
      <c r="B221" s="3" t="str">
        <f aca="false">IF(COUNTIF(Final_CB_O2_V5!$B$2:$B$535,A221)&gt;=1,"YES","NO")</f>
        <v>NO</v>
      </c>
      <c r="D221" s="3" t="str">
        <f aca="false">IF(COUNTIF(Final_CB_O2_V5!$C$2:$C$535,C221)&gt;=1,"YES","NO")</f>
        <v>NO</v>
      </c>
      <c r="G221" s="4"/>
      <c r="H221" s="4"/>
    </row>
    <row r="222" customFormat="false" ht="15.75" hidden="false" customHeight="false" outlineLevel="0" collapsed="false">
      <c r="B222" s="3" t="str">
        <f aca="false">IF(COUNTIF(Final_CB_O2_V5!$B$2:$B$535,A222)&gt;=1,"YES","NO")</f>
        <v>NO</v>
      </c>
      <c r="D222" s="3" t="str">
        <f aca="false">IF(COUNTIF(Final_CB_O2_V5!$C$2:$C$535,C222)&gt;=1,"YES","NO")</f>
        <v>NO</v>
      </c>
      <c r="G222" s="4"/>
      <c r="H222" s="4"/>
    </row>
    <row r="223" customFormat="false" ht="15.75" hidden="false" customHeight="false" outlineLevel="0" collapsed="false">
      <c r="B223" s="3" t="str">
        <f aca="false">IF(COUNTIF(Final_CB_O2_V5!$B$2:$B$535,A223)&gt;=1,"YES","NO")</f>
        <v>NO</v>
      </c>
      <c r="D223" s="3" t="str">
        <f aca="false">IF(COUNTIF(Final_CB_O2_V5!$C$2:$C$535,C223)&gt;=1,"YES","NO")</f>
        <v>NO</v>
      </c>
      <c r="G223" s="4"/>
      <c r="H223" s="4"/>
    </row>
    <row r="224" customFormat="false" ht="15.75" hidden="false" customHeight="false" outlineLevel="0" collapsed="false">
      <c r="B224" s="3" t="str">
        <f aca="false">IF(COUNTIF(Final_CB_O2_V5!$B$2:$B$535,A224)&gt;=1,"YES","NO")</f>
        <v>NO</v>
      </c>
      <c r="D224" s="3" t="str">
        <f aca="false">IF(COUNTIF(Final_CB_O2_V5!$C$2:$C$535,C224)&gt;=1,"YES","NO")</f>
        <v>NO</v>
      </c>
      <c r="G224" s="4"/>
      <c r="H224" s="4"/>
    </row>
    <row r="225" customFormat="false" ht="15.75" hidden="false" customHeight="false" outlineLevel="0" collapsed="false">
      <c r="B225" s="3" t="str">
        <f aca="false">IF(COUNTIF(Final_CB_O2_V5!$B$2:$B$535,A225)&gt;=1,"YES","NO")</f>
        <v>NO</v>
      </c>
      <c r="D225" s="3" t="str">
        <f aca="false">IF(COUNTIF(Final_CB_O2_V5!$C$2:$C$535,C225)&gt;=1,"YES","NO")</f>
        <v>NO</v>
      </c>
      <c r="G225" s="4"/>
      <c r="H225" s="4"/>
    </row>
    <row r="226" customFormat="false" ht="15.75" hidden="false" customHeight="false" outlineLevel="0" collapsed="false">
      <c r="B226" s="3" t="str">
        <f aca="false">IF(COUNTIF(Final_CB_O2_V5!$B$2:$B$535,A226)&gt;=1,"YES","NO")</f>
        <v>NO</v>
      </c>
      <c r="D226" s="3" t="str">
        <f aca="false">IF(COUNTIF(Final_CB_O2_V5!$C$2:$C$535,C226)&gt;=1,"YES","NO")</f>
        <v>NO</v>
      </c>
      <c r="G226" s="4"/>
      <c r="H226" s="4"/>
    </row>
    <row r="227" customFormat="false" ht="15.75" hidden="false" customHeight="false" outlineLevel="0" collapsed="false">
      <c r="B227" s="3" t="str">
        <f aca="false">IF(COUNTIF(Final_CB_O2_V5!$B$2:$B$535,A227)&gt;=1,"YES","NO")</f>
        <v>NO</v>
      </c>
      <c r="D227" s="3" t="str">
        <f aca="false">IF(COUNTIF(Final_CB_O2_V5!$C$2:$C$535,C227)&gt;=1,"YES","NO")</f>
        <v>NO</v>
      </c>
      <c r="G227" s="4"/>
      <c r="H227" s="4"/>
    </row>
    <row r="228" customFormat="false" ht="15.75" hidden="false" customHeight="false" outlineLevel="0" collapsed="false">
      <c r="B228" s="3" t="str">
        <f aca="false">IF(COUNTIF(Final_CB_O2_V5!$B$2:$B$535,A228)&gt;=1,"YES","NO")</f>
        <v>NO</v>
      </c>
      <c r="D228" s="3" t="str">
        <f aca="false">IF(COUNTIF(Final_CB_O2_V5!$C$2:$C$535,C228)&gt;=1,"YES","NO")</f>
        <v>NO</v>
      </c>
      <c r="G228" s="4"/>
      <c r="H228" s="4"/>
    </row>
    <row r="229" customFormat="false" ht="15.75" hidden="false" customHeight="false" outlineLevel="0" collapsed="false">
      <c r="B229" s="3" t="str">
        <f aca="false">IF(COUNTIF(Final_CB_O2_V5!$B$2:$B$535,A229)&gt;=1,"YES","NO")</f>
        <v>NO</v>
      </c>
      <c r="D229" s="3" t="str">
        <f aca="false">IF(COUNTIF(Final_CB_O2_V5!$C$2:$C$535,C229)&gt;=1,"YES","NO")</f>
        <v>NO</v>
      </c>
      <c r="G229" s="4"/>
      <c r="H229" s="4"/>
    </row>
    <row r="230" customFormat="false" ht="15.75" hidden="false" customHeight="false" outlineLevel="0" collapsed="false">
      <c r="B230" s="3" t="str">
        <f aca="false">IF(COUNTIF(Final_CB_O2_V5!$B$2:$B$535,A230)&gt;=1,"YES","NO")</f>
        <v>NO</v>
      </c>
      <c r="D230" s="3" t="str">
        <f aca="false">IF(COUNTIF(Final_CB_O2_V5!$C$2:$C$535,C230)&gt;=1,"YES","NO")</f>
        <v>NO</v>
      </c>
      <c r="G230" s="4"/>
      <c r="H230" s="4"/>
    </row>
    <row r="231" customFormat="false" ht="15.75" hidden="false" customHeight="false" outlineLevel="0" collapsed="false">
      <c r="B231" s="3" t="str">
        <f aca="false">IF(COUNTIF(Final_CB_O2_V5!$B$2:$B$535,A231)&gt;=1,"YES","NO")</f>
        <v>NO</v>
      </c>
      <c r="D231" s="3" t="str">
        <f aca="false">IF(COUNTIF(Final_CB_O2_V5!$C$2:$C$535,C231)&gt;=1,"YES","NO")</f>
        <v>NO</v>
      </c>
      <c r="G231" s="4"/>
      <c r="H231" s="4"/>
    </row>
    <row r="232" customFormat="false" ht="15.75" hidden="false" customHeight="false" outlineLevel="0" collapsed="false">
      <c r="B232" s="3" t="str">
        <f aca="false">IF(COUNTIF(Final_CB_O2_V5!$B$2:$B$535,A232)&gt;=1,"YES","NO")</f>
        <v>NO</v>
      </c>
      <c r="D232" s="3" t="str">
        <f aca="false">IF(COUNTIF(Final_CB_O2_V5!$C$2:$C$535,C232)&gt;=1,"YES","NO")</f>
        <v>NO</v>
      </c>
      <c r="G232" s="4"/>
      <c r="H232" s="4"/>
    </row>
    <row r="233" customFormat="false" ht="15.75" hidden="false" customHeight="false" outlineLevel="0" collapsed="false">
      <c r="B233" s="3" t="str">
        <f aca="false">IF(COUNTIF(Final_CB_O2_V5!$B$2:$B$535,A233)&gt;=1,"YES","NO")</f>
        <v>NO</v>
      </c>
      <c r="D233" s="3" t="str">
        <f aca="false">IF(COUNTIF(Final_CB_O2_V5!$C$2:$C$535,C233)&gt;=1,"YES","NO")</f>
        <v>NO</v>
      </c>
      <c r="G233" s="4"/>
      <c r="H233" s="4"/>
    </row>
    <row r="234" customFormat="false" ht="15.75" hidden="false" customHeight="false" outlineLevel="0" collapsed="false">
      <c r="B234" s="3" t="str">
        <f aca="false">IF(COUNTIF(Final_CB_O2_V5!$B$2:$B$535,A234)&gt;=1,"YES","NO")</f>
        <v>NO</v>
      </c>
      <c r="D234" s="3" t="str">
        <f aca="false">IF(COUNTIF(Final_CB_O2_V5!$C$2:$C$535,C234)&gt;=1,"YES","NO")</f>
        <v>NO</v>
      </c>
      <c r="G234" s="4"/>
      <c r="H234" s="4"/>
    </row>
    <row r="235" customFormat="false" ht="15.75" hidden="false" customHeight="false" outlineLevel="0" collapsed="false">
      <c r="G235" s="4"/>
      <c r="H235" s="4"/>
    </row>
    <row r="236" customFormat="false" ht="15.75" hidden="false" customHeight="false" outlineLevel="0" collapsed="false">
      <c r="G236" s="4"/>
      <c r="H236" s="4"/>
    </row>
    <row r="237" customFormat="false" ht="15.75" hidden="false" customHeight="false" outlineLevel="0" collapsed="false">
      <c r="G237" s="4"/>
      <c r="H237" s="4"/>
    </row>
    <row r="238" customFormat="false" ht="15.75" hidden="false" customHeight="false" outlineLevel="0" collapsed="false">
      <c r="G238" s="4"/>
      <c r="H238" s="4"/>
    </row>
    <row r="239" customFormat="false" ht="15.75" hidden="false" customHeight="false" outlineLevel="0" collapsed="false">
      <c r="G239" s="4"/>
      <c r="H239" s="4"/>
    </row>
    <row r="240" customFormat="false" ht="15.75" hidden="false" customHeight="false" outlineLevel="0" collapsed="false">
      <c r="G240" s="4"/>
      <c r="H240" s="4"/>
    </row>
    <row r="241" customFormat="false" ht="15.75" hidden="false" customHeight="false" outlineLevel="0" collapsed="false">
      <c r="G241" s="4"/>
      <c r="H241" s="4"/>
    </row>
    <row r="242" customFormat="false" ht="15.75" hidden="false" customHeight="false" outlineLevel="0" collapsed="false">
      <c r="G242" s="4"/>
      <c r="H242" s="4"/>
    </row>
    <row r="243" customFormat="false" ht="15.75" hidden="false" customHeight="false" outlineLevel="0" collapsed="false">
      <c r="G243" s="4"/>
      <c r="H243" s="4"/>
    </row>
    <row r="244" customFormat="false" ht="15.75" hidden="false" customHeight="false" outlineLevel="0" collapsed="false">
      <c r="G244" s="4"/>
      <c r="H244" s="4"/>
    </row>
    <row r="245" customFormat="false" ht="15.75" hidden="false" customHeight="false" outlineLevel="0" collapsed="false">
      <c r="G245" s="4"/>
      <c r="H245" s="4"/>
    </row>
    <row r="246" customFormat="false" ht="15.75" hidden="false" customHeight="false" outlineLevel="0" collapsed="false">
      <c r="G246" s="4"/>
      <c r="H246" s="4"/>
    </row>
    <row r="247" customFormat="false" ht="15.75" hidden="false" customHeight="false" outlineLevel="0" collapsed="false">
      <c r="G247" s="4"/>
      <c r="H247" s="4"/>
    </row>
    <row r="248" customFormat="false" ht="15.75" hidden="false" customHeight="false" outlineLevel="0" collapsed="false">
      <c r="G248" s="4"/>
      <c r="H248" s="4"/>
    </row>
    <row r="249" customFormat="false" ht="15.75" hidden="false" customHeight="false" outlineLevel="0" collapsed="false">
      <c r="G249" s="4"/>
      <c r="H249" s="4"/>
    </row>
    <row r="250" customFormat="false" ht="15.75" hidden="false" customHeight="false" outlineLevel="0" collapsed="false">
      <c r="G250" s="4"/>
      <c r="H250" s="4"/>
    </row>
    <row r="251" customFormat="false" ht="15.75" hidden="false" customHeight="false" outlineLevel="0" collapsed="false">
      <c r="G251" s="4"/>
      <c r="H251" s="4"/>
    </row>
    <row r="252" customFormat="false" ht="15.75" hidden="false" customHeight="false" outlineLevel="0" collapsed="false">
      <c r="G252" s="4"/>
      <c r="H252" s="4"/>
    </row>
    <row r="253" customFormat="false" ht="15.75" hidden="false" customHeight="false" outlineLevel="0" collapsed="false">
      <c r="G253" s="4"/>
      <c r="H253" s="4"/>
    </row>
    <row r="254" customFormat="false" ht="15.75" hidden="false" customHeight="false" outlineLevel="0" collapsed="false">
      <c r="G254" s="4"/>
      <c r="H254" s="4"/>
    </row>
    <row r="255" customFormat="false" ht="15.75" hidden="false" customHeight="false" outlineLevel="0" collapsed="false">
      <c r="G255" s="4"/>
      <c r="H255" s="4"/>
    </row>
    <row r="256" customFormat="false" ht="15.75" hidden="false" customHeight="false" outlineLevel="0" collapsed="false">
      <c r="G256" s="4"/>
      <c r="H256" s="4"/>
    </row>
    <row r="257" customFormat="false" ht="15.75" hidden="false" customHeight="false" outlineLevel="0" collapsed="false">
      <c r="G257" s="4"/>
      <c r="H257" s="4"/>
    </row>
    <row r="258" customFormat="false" ht="15.75" hidden="false" customHeight="false" outlineLevel="0" collapsed="false">
      <c r="G258" s="4"/>
      <c r="H258" s="4"/>
    </row>
    <row r="259" customFormat="false" ht="15.75" hidden="false" customHeight="false" outlineLevel="0" collapsed="false">
      <c r="G259" s="4"/>
      <c r="H259" s="4"/>
    </row>
    <row r="260" customFormat="false" ht="15.75" hidden="false" customHeight="false" outlineLevel="0" collapsed="false">
      <c r="G260" s="4"/>
      <c r="H260" s="4"/>
    </row>
    <row r="261" customFormat="false" ht="15.75" hidden="false" customHeight="false" outlineLevel="0" collapsed="false">
      <c r="G261" s="4"/>
      <c r="H261" s="4"/>
    </row>
    <row r="262" customFormat="false" ht="15.75" hidden="false" customHeight="false" outlineLevel="0" collapsed="false">
      <c r="G262" s="4"/>
      <c r="H262" s="4"/>
    </row>
    <row r="263" customFormat="false" ht="15.75" hidden="false" customHeight="false" outlineLevel="0" collapsed="false">
      <c r="G263" s="4"/>
      <c r="H263" s="4"/>
    </row>
    <row r="264" customFormat="false" ht="15.75" hidden="false" customHeight="false" outlineLevel="0" collapsed="false">
      <c r="G264" s="4"/>
      <c r="H264" s="4"/>
    </row>
    <row r="265" customFormat="false" ht="15.75" hidden="false" customHeight="false" outlineLevel="0" collapsed="false">
      <c r="G265" s="4"/>
      <c r="H265" s="4"/>
    </row>
    <row r="266" customFormat="false" ht="15.75" hidden="false" customHeight="false" outlineLevel="0" collapsed="false">
      <c r="G266" s="4"/>
      <c r="H266" s="4"/>
    </row>
    <row r="267" customFormat="false" ht="15.75" hidden="false" customHeight="false" outlineLevel="0" collapsed="false">
      <c r="G267" s="4"/>
      <c r="H267" s="4"/>
    </row>
    <row r="268" customFormat="false" ht="15.75" hidden="false" customHeight="false" outlineLevel="0" collapsed="false">
      <c r="G268" s="4"/>
      <c r="H268" s="4"/>
    </row>
    <row r="269" customFormat="false" ht="15.75" hidden="false" customHeight="false" outlineLevel="0" collapsed="false">
      <c r="G269" s="4"/>
      <c r="H269" s="4"/>
    </row>
    <row r="270" customFormat="false" ht="15.75" hidden="false" customHeight="false" outlineLevel="0" collapsed="false">
      <c r="G270" s="4"/>
      <c r="H270" s="4"/>
    </row>
    <row r="271" customFormat="false" ht="15.75" hidden="false" customHeight="false" outlineLevel="0" collapsed="false">
      <c r="G271" s="4"/>
      <c r="H271" s="4"/>
    </row>
    <row r="272" customFormat="false" ht="15.75" hidden="false" customHeight="false" outlineLevel="0" collapsed="false">
      <c r="G272" s="4"/>
      <c r="H272" s="4"/>
    </row>
    <row r="273" customFormat="false" ht="15.75" hidden="false" customHeight="false" outlineLevel="0" collapsed="false">
      <c r="G273" s="4"/>
      <c r="H273" s="4"/>
    </row>
    <row r="274" customFormat="false" ht="15.75" hidden="false" customHeight="false" outlineLevel="0" collapsed="false">
      <c r="G274" s="4"/>
      <c r="H274" s="4"/>
    </row>
    <row r="275" customFormat="false" ht="15.75" hidden="false" customHeight="false" outlineLevel="0" collapsed="false">
      <c r="G275" s="4"/>
      <c r="H275" s="4"/>
    </row>
    <row r="276" customFormat="false" ht="15.75" hidden="false" customHeight="false" outlineLevel="0" collapsed="false">
      <c r="G276" s="4"/>
      <c r="H276" s="4"/>
    </row>
    <row r="277" customFormat="false" ht="15.75" hidden="false" customHeight="false" outlineLevel="0" collapsed="false">
      <c r="G277" s="4"/>
      <c r="H277" s="4"/>
    </row>
    <row r="278" customFormat="false" ht="15.75" hidden="false" customHeight="false" outlineLevel="0" collapsed="false">
      <c r="G278" s="4"/>
      <c r="H278" s="4"/>
    </row>
    <row r="279" customFormat="false" ht="15.75" hidden="false" customHeight="false" outlineLevel="0" collapsed="false">
      <c r="G279" s="4"/>
      <c r="H279" s="4"/>
    </row>
    <row r="280" customFormat="false" ht="15.75" hidden="false" customHeight="false" outlineLevel="0" collapsed="false">
      <c r="G280" s="4"/>
      <c r="H280" s="4"/>
    </row>
    <row r="281" customFormat="false" ht="15.75" hidden="false" customHeight="false" outlineLevel="0" collapsed="false">
      <c r="G281" s="4"/>
      <c r="H281" s="4"/>
    </row>
    <row r="282" customFormat="false" ht="15.75" hidden="false" customHeight="false" outlineLevel="0" collapsed="false">
      <c r="G282" s="4"/>
      <c r="H282" s="4"/>
    </row>
    <row r="283" customFormat="false" ht="15.75" hidden="false" customHeight="false" outlineLevel="0" collapsed="false">
      <c r="G283" s="4"/>
      <c r="H283" s="4"/>
    </row>
    <row r="284" customFormat="false" ht="15.75" hidden="false" customHeight="false" outlineLevel="0" collapsed="false">
      <c r="G284" s="4"/>
      <c r="H284" s="4"/>
    </row>
    <row r="285" customFormat="false" ht="15.75" hidden="false" customHeight="false" outlineLevel="0" collapsed="false">
      <c r="G285" s="4"/>
      <c r="H285" s="4"/>
    </row>
    <row r="286" customFormat="false" ht="15.75" hidden="false" customHeight="false" outlineLevel="0" collapsed="false">
      <c r="G286" s="4"/>
      <c r="H286" s="4"/>
    </row>
    <row r="287" customFormat="false" ht="15.75" hidden="false" customHeight="false" outlineLevel="0" collapsed="false">
      <c r="G287" s="4"/>
      <c r="H287" s="4"/>
    </row>
    <row r="288" customFormat="false" ht="15.75" hidden="false" customHeight="false" outlineLevel="0" collapsed="false">
      <c r="G288" s="4"/>
      <c r="H288" s="4"/>
    </row>
    <row r="289" customFormat="false" ht="15.75" hidden="false" customHeight="false" outlineLevel="0" collapsed="false">
      <c r="G289" s="4"/>
      <c r="H289" s="4"/>
    </row>
    <row r="290" customFormat="false" ht="15.75" hidden="false" customHeight="false" outlineLevel="0" collapsed="false">
      <c r="G290" s="4"/>
      <c r="H290" s="4"/>
    </row>
    <row r="291" customFormat="false" ht="15.75" hidden="false" customHeight="false" outlineLevel="0" collapsed="false">
      <c r="G291" s="4"/>
      <c r="H291" s="4"/>
    </row>
    <row r="292" customFormat="false" ht="15.75" hidden="false" customHeight="false" outlineLevel="0" collapsed="false">
      <c r="G292" s="4"/>
      <c r="H292" s="4"/>
    </row>
    <row r="293" customFormat="false" ht="15.75" hidden="false" customHeight="false" outlineLevel="0" collapsed="false">
      <c r="G293" s="4"/>
      <c r="H293" s="4"/>
    </row>
    <row r="294" customFormat="false" ht="15.75" hidden="false" customHeight="false" outlineLevel="0" collapsed="false">
      <c r="G294" s="4"/>
      <c r="H294" s="4"/>
    </row>
    <row r="295" customFormat="false" ht="15.75" hidden="false" customHeight="false" outlineLevel="0" collapsed="false">
      <c r="G295" s="4"/>
      <c r="H295" s="4"/>
    </row>
    <row r="296" customFormat="false" ht="15.75" hidden="false" customHeight="false" outlineLevel="0" collapsed="false">
      <c r="G296" s="4"/>
      <c r="H296" s="4"/>
    </row>
    <row r="297" customFormat="false" ht="15.75" hidden="false" customHeight="false" outlineLevel="0" collapsed="false">
      <c r="G297" s="4"/>
      <c r="H297" s="4"/>
    </row>
    <row r="298" customFormat="false" ht="15.75" hidden="false" customHeight="false" outlineLevel="0" collapsed="false"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  <row r="628" customFormat="false" ht="15.75" hidden="false" customHeight="false" outlineLevel="0" collapsed="false">
      <c r="G628" s="4"/>
      <c r="H628" s="4"/>
    </row>
    <row r="629" customFormat="false" ht="15.75" hidden="false" customHeight="false" outlineLevel="0" collapsed="false">
      <c r="G629" s="4"/>
      <c r="H629" s="4"/>
    </row>
    <row r="630" customFormat="false" ht="15.75" hidden="false" customHeight="false" outlineLevel="0" collapsed="false">
      <c r="G630" s="4"/>
      <c r="H630" s="4"/>
    </row>
    <row r="631" customFormat="false" ht="15.75" hidden="false" customHeight="false" outlineLevel="0" collapsed="false">
      <c r="G631" s="4"/>
      <c r="H631" s="4"/>
    </row>
    <row r="632" customFormat="false" ht="15.75" hidden="false" customHeight="false" outlineLevel="0" collapsed="false">
      <c r="G632" s="4"/>
      <c r="H632" s="4"/>
    </row>
    <row r="633" customFormat="false" ht="15.75" hidden="false" customHeight="false" outlineLevel="0" collapsed="false">
      <c r="G633" s="4"/>
      <c r="H633" s="4"/>
    </row>
    <row r="634" customFormat="false" ht="15.75" hidden="false" customHeight="false" outlineLevel="0" collapsed="false">
      <c r="G634" s="4"/>
      <c r="H634" s="4"/>
    </row>
    <row r="635" customFormat="false" ht="15.75" hidden="false" customHeight="false" outlineLevel="0" collapsed="false">
      <c r="G635" s="4"/>
      <c r="H635" s="4"/>
    </row>
    <row r="636" customFormat="false" ht="15.75" hidden="false" customHeight="false" outlineLevel="0" collapsed="false">
      <c r="G636" s="4"/>
      <c r="H636" s="4"/>
    </row>
    <row r="637" customFormat="false" ht="15.75" hidden="false" customHeight="false" outlineLevel="0" collapsed="false">
      <c r="G637" s="4"/>
      <c r="H637" s="4"/>
    </row>
    <row r="638" customFormat="false" ht="15.75" hidden="false" customHeight="false" outlineLevel="0" collapsed="false">
      <c r="G638" s="4"/>
      <c r="H638" s="4"/>
    </row>
    <row r="639" customFormat="false" ht="15.75" hidden="false" customHeight="false" outlineLevel="0" collapsed="false">
      <c r="G639" s="4"/>
      <c r="H639" s="4"/>
    </row>
    <row r="640" customFormat="false" ht="15.75" hidden="false" customHeight="false" outlineLevel="0" collapsed="false">
      <c r="G640" s="4"/>
      <c r="H640" s="4"/>
    </row>
    <row r="641" customFormat="false" ht="15.75" hidden="false" customHeight="false" outlineLevel="0" collapsed="false">
      <c r="G641" s="4"/>
      <c r="H641" s="4"/>
    </row>
    <row r="642" customFormat="false" ht="15.75" hidden="false" customHeight="false" outlineLevel="0" collapsed="false">
      <c r="G642" s="4"/>
      <c r="H642" s="4"/>
    </row>
    <row r="643" customFormat="false" ht="15.75" hidden="false" customHeight="false" outlineLevel="0" collapsed="false">
      <c r="G643" s="4"/>
      <c r="H643" s="4"/>
    </row>
    <row r="644" customFormat="false" ht="15.75" hidden="false" customHeight="false" outlineLevel="0" collapsed="false">
      <c r="G644" s="4"/>
      <c r="H644" s="4"/>
    </row>
    <row r="645" customFormat="false" ht="15.75" hidden="false" customHeight="false" outlineLevel="0" collapsed="false">
      <c r="G645" s="4"/>
      <c r="H645" s="4"/>
    </row>
    <row r="646" customFormat="false" ht="15.75" hidden="false" customHeight="false" outlineLevel="0" collapsed="false">
      <c r="G646" s="4"/>
      <c r="H646" s="4"/>
    </row>
    <row r="647" customFormat="false" ht="15.75" hidden="false" customHeight="false" outlineLevel="0" collapsed="false">
      <c r="G647" s="4"/>
      <c r="H647" s="4"/>
    </row>
    <row r="648" customFormat="false" ht="15.75" hidden="false" customHeight="false" outlineLevel="0" collapsed="false">
      <c r="G648" s="4"/>
      <c r="H648" s="4"/>
    </row>
    <row r="649" customFormat="false" ht="15.75" hidden="false" customHeight="false" outlineLevel="0" collapsed="false">
      <c r="G649" s="4"/>
      <c r="H649" s="4"/>
    </row>
    <row r="650" customFormat="false" ht="15.75" hidden="false" customHeight="false" outlineLevel="0" collapsed="false">
      <c r="G650" s="4"/>
      <c r="H650" s="4"/>
    </row>
    <row r="651" customFormat="false" ht="15.75" hidden="false" customHeight="false" outlineLevel="0" collapsed="false">
      <c r="G651" s="4"/>
      <c r="H651" s="4"/>
    </row>
    <row r="652" customFormat="false" ht="15.75" hidden="false" customHeight="false" outlineLevel="0" collapsed="false">
      <c r="G652" s="4"/>
      <c r="H652" s="4"/>
    </row>
    <row r="653" customFormat="false" ht="15.75" hidden="false" customHeight="false" outlineLevel="0" collapsed="false">
      <c r="G653" s="4"/>
      <c r="H653" s="4"/>
    </row>
    <row r="654" customFormat="false" ht="15.75" hidden="false" customHeight="false" outlineLevel="0" collapsed="false">
      <c r="G654" s="4"/>
      <c r="H654" s="4"/>
    </row>
    <row r="655" customFormat="false" ht="15.75" hidden="false" customHeight="false" outlineLevel="0" collapsed="false">
      <c r="G655" s="4"/>
      <c r="H655" s="4"/>
    </row>
    <row r="656" customFormat="false" ht="15.75" hidden="false" customHeight="false" outlineLevel="0" collapsed="false">
      <c r="G656" s="4"/>
      <c r="H656" s="4"/>
    </row>
    <row r="657" customFormat="false" ht="15.75" hidden="false" customHeight="false" outlineLevel="0" collapsed="false">
      <c r="G657" s="4"/>
      <c r="H657" s="4"/>
    </row>
    <row r="658" customFormat="false" ht="15.75" hidden="false" customHeight="false" outlineLevel="0" collapsed="false">
      <c r="G658" s="4"/>
      <c r="H658" s="4"/>
    </row>
    <row r="659" customFormat="false" ht="15.75" hidden="false" customHeight="false" outlineLevel="0" collapsed="false">
      <c r="G659" s="4"/>
      <c r="H659" s="4"/>
    </row>
    <row r="660" customFormat="false" ht="15.75" hidden="false" customHeight="false" outlineLevel="0" collapsed="false">
      <c r="G660" s="4"/>
      <c r="H660" s="4"/>
    </row>
    <row r="661" customFormat="false" ht="15.75" hidden="false" customHeight="false" outlineLevel="0" collapsed="false">
      <c r="G661" s="4"/>
      <c r="H661" s="4"/>
    </row>
    <row r="662" customFormat="false" ht="15.75" hidden="false" customHeight="false" outlineLevel="0" collapsed="false">
      <c r="G662" s="4"/>
      <c r="H662" s="4"/>
    </row>
    <row r="663" customFormat="false" ht="15.75" hidden="false" customHeight="false" outlineLevel="0" collapsed="false">
      <c r="G663" s="4"/>
      <c r="H663" s="4"/>
    </row>
    <row r="664" customFormat="false" ht="15.75" hidden="false" customHeight="false" outlineLevel="0" collapsed="false">
      <c r="G664" s="4"/>
      <c r="H664" s="4"/>
    </row>
    <row r="665" customFormat="false" ht="15.75" hidden="false" customHeight="false" outlineLevel="0" collapsed="false">
      <c r="G665" s="4"/>
      <c r="H665" s="4"/>
    </row>
    <row r="666" customFormat="false" ht="15.75" hidden="false" customHeight="false" outlineLevel="0" collapsed="false">
      <c r="G666" s="4"/>
      <c r="H666" s="4"/>
    </row>
    <row r="667" customFormat="false" ht="15.75" hidden="false" customHeight="false" outlineLevel="0" collapsed="false">
      <c r="G667" s="4"/>
      <c r="H667" s="4"/>
    </row>
    <row r="668" customFormat="false" ht="15.75" hidden="false" customHeight="false" outlineLevel="0" collapsed="false">
      <c r="G668" s="4"/>
      <c r="H668" s="4"/>
    </row>
    <row r="669" customFormat="false" ht="15.75" hidden="false" customHeight="false" outlineLevel="0" collapsed="false">
      <c r="G669" s="4"/>
      <c r="H669" s="4"/>
    </row>
    <row r="670" customFormat="false" ht="15.75" hidden="false" customHeight="false" outlineLevel="0" collapsed="false">
      <c r="G670" s="4"/>
      <c r="H670" s="4"/>
    </row>
    <row r="671" customFormat="false" ht="15.75" hidden="false" customHeight="false" outlineLevel="0" collapsed="false">
      <c r="G671" s="4"/>
      <c r="H671" s="4"/>
    </row>
    <row r="672" customFormat="false" ht="15.75" hidden="false" customHeight="false" outlineLevel="0" collapsed="false">
      <c r="G672" s="4"/>
      <c r="H672" s="4"/>
    </row>
    <row r="673" customFormat="false" ht="15.75" hidden="false" customHeight="false" outlineLevel="0" collapsed="false">
      <c r="G673" s="4"/>
      <c r="H673" s="4"/>
    </row>
    <row r="674" customFormat="false" ht="15.75" hidden="false" customHeight="false" outlineLevel="0" collapsed="false">
      <c r="G674" s="4"/>
      <c r="H674" s="4"/>
    </row>
    <row r="675" customFormat="false" ht="15.75" hidden="false" customHeight="false" outlineLevel="0" collapsed="false">
      <c r="G675" s="4"/>
      <c r="H675" s="4"/>
    </row>
    <row r="676" customFormat="false" ht="15.75" hidden="false" customHeight="false" outlineLevel="0" collapsed="false">
      <c r="G676" s="4"/>
      <c r="H676" s="4"/>
    </row>
    <row r="677" customFormat="false" ht="15.75" hidden="false" customHeight="false" outlineLevel="0" collapsed="false">
      <c r="G677" s="4"/>
      <c r="H677" s="4"/>
    </row>
    <row r="678" customFormat="false" ht="15.75" hidden="false" customHeight="false" outlineLevel="0" collapsed="false">
      <c r="G678" s="4"/>
      <c r="H678" s="4"/>
    </row>
    <row r="679" customFormat="false" ht="15.75" hidden="false" customHeight="false" outlineLevel="0" collapsed="false">
      <c r="G679" s="4"/>
      <c r="H679" s="4"/>
    </row>
    <row r="680" customFormat="false" ht="15.75" hidden="false" customHeight="false" outlineLevel="0" collapsed="false">
      <c r="G680" s="4"/>
      <c r="H680" s="4"/>
    </row>
    <row r="681" customFormat="false" ht="15.75" hidden="false" customHeight="false" outlineLevel="0" collapsed="false">
      <c r="G681" s="4"/>
      <c r="H681" s="4"/>
    </row>
    <row r="682" customFormat="false" ht="15.75" hidden="false" customHeight="false" outlineLevel="0" collapsed="false">
      <c r="G682" s="4"/>
      <c r="H682" s="4"/>
    </row>
    <row r="683" customFormat="false" ht="15.75" hidden="false" customHeight="false" outlineLevel="0" collapsed="false">
      <c r="G683" s="4"/>
      <c r="H683" s="4"/>
    </row>
    <row r="684" customFormat="false" ht="15.75" hidden="false" customHeight="false" outlineLevel="0" collapsed="false">
      <c r="G684" s="4"/>
      <c r="H684" s="4"/>
    </row>
    <row r="685" customFormat="false" ht="15.75" hidden="false" customHeight="false" outlineLevel="0" collapsed="false">
      <c r="G685" s="4"/>
      <c r="H685" s="4"/>
    </row>
    <row r="686" customFormat="false" ht="15.75" hidden="false" customHeight="false" outlineLevel="0" collapsed="false">
      <c r="G686" s="4"/>
      <c r="H686" s="4"/>
    </row>
    <row r="687" customFormat="false" ht="15.75" hidden="false" customHeight="false" outlineLevel="0" collapsed="false">
      <c r="G687" s="4"/>
      <c r="H687" s="4"/>
    </row>
    <row r="688" customFormat="false" ht="15.75" hidden="false" customHeight="false" outlineLevel="0" collapsed="false">
      <c r="G688" s="4"/>
      <c r="H688" s="4"/>
    </row>
    <row r="689" customFormat="false" ht="15.75" hidden="false" customHeight="false" outlineLevel="0" collapsed="false">
      <c r="G689" s="4"/>
      <c r="H689" s="4"/>
    </row>
    <row r="690" customFormat="false" ht="15.75" hidden="false" customHeight="false" outlineLevel="0" collapsed="false">
      <c r="G690" s="4"/>
      <c r="H690" s="4"/>
    </row>
    <row r="691" customFormat="false" ht="15.75" hidden="false" customHeight="false" outlineLevel="0" collapsed="false">
      <c r="G691" s="4"/>
      <c r="H691" s="4"/>
    </row>
    <row r="692" customFormat="false" ht="15.75" hidden="false" customHeight="false" outlineLevel="0" collapsed="false">
      <c r="G692" s="4"/>
      <c r="H692" s="4"/>
    </row>
    <row r="693" customFormat="false" ht="15.75" hidden="false" customHeight="false" outlineLevel="0" collapsed="false">
      <c r="G693" s="4"/>
      <c r="H693" s="4"/>
    </row>
    <row r="694" customFormat="false" ht="15.75" hidden="false" customHeight="false" outlineLevel="0" collapsed="false">
      <c r="G694" s="4"/>
      <c r="H694" s="4"/>
    </row>
    <row r="695" customFormat="false" ht="15.75" hidden="false" customHeight="false" outlineLevel="0" collapsed="false">
      <c r="G695" s="4"/>
      <c r="H695" s="4"/>
    </row>
    <row r="696" customFormat="false" ht="15.75" hidden="false" customHeight="false" outlineLevel="0" collapsed="false">
      <c r="G696" s="4"/>
      <c r="H696" s="4"/>
    </row>
    <row r="697" customFormat="false" ht="15.75" hidden="false" customHeight="false" outlineLevel="0" collapsed="false">
      <c r="G697" s="4"/>
      <c r="H697" s="4"/>
    </row>
    <row r="698" customFormat="false" ht="15.75" hidden="false" customHeight="false" outlineLevel="0" collapsed="false">
      <c r="G698" s="4"/>
      <c r="H698" s="4"/>
    </row>
  </sheetData>
  <conditionalFormatting sqref="A2:A1000 C2:C12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4" t="s">
        <v>1285</v>
      </c>
      <c r="B2" s="3" t="s">
        <v>1285</v>
      </c>
      <c r="C2" s="3" t="s">
        <v>1285</v>
      </c>
    </row>
    <row r="3" customFormat="false" ht="15.75" hidden="false" customHeight="false" outlineLevel="0" collapsed="false">
      <c r="A3" s="4" t="s">
        <v>1285</v>
      </c>
      <c r="B3" s="3" t="s">
        <v>1287</v>
      </c>
      <c r="C3" s="3" t="s">
        <v>1287</v>
      </c>
    </row>
    <row r="4" customFormat="false" ht="15.75" hidden="false" customHeight="false" outlineLevel="0" collapsed="false">
      <c r="A4" s="4" t="s">
        <v>1286</v>
      </c>
      <c r="B4" s="3" t="s">
        <v>1286</v>
      </c>
      <c r="C4" s="3" t="s">
        <v>1286</v>
      </c>
    </row>
    <row r="5" customFormat="false" ht="15.75" hidden="false" customHeight="false" outlineLevel="0" collapsed="false">
      <c r="A5" s="3" t="s">
        <v>1293</v>
      </c>
      <c r="B5" s="3"/>
      <c r="C5" s="3" t="s">
        <v>1289</v>
      </c>
    </row>
    <row r="6" customFormat="false" ht="15.75" hidden="false" customHeight="false" outlineLevel="0" collapsed="false">
      <c r="A6" s="3" t="s">
        <v>1294</v>
      </c>
      <c r="B6" s="3"/>
      <c r="C6" s="3" t="s">
        <v>1290</v>
      </c>
    </row>
    <row r="7" customFormat="false" ht="15.75" hidden="false" customHeight="false" outlineLevel="0" collapsed="false">
      <c r="A7" s="3" t="s">
        <v>1295</v>
      </c>
      <c r="B7" s="3" t="s">
        <v>1291</v>
      </c>
      <c r="C7" s="3" t="s">
        <v>1291</v>
      </c>
    </row>
    <row r="8" customFormat="false" ht="15.75" hidden="false" customHeight="false" outlineLevel="0" collapsed="false">
      <c r="A8" s="3" t="s">
        <v>1296</v>
      </c>
      <c r="B8" s="3" t="s">
        <v>1292</v>
      </c>
      <c r="C8" s="3" t="s">
        <v>1292</v>
      </c>
    </row>
    <row r="9" customFormat="false" ht="15.75" hidden="false" customHeight="false" outlineLevel="0" collapsed="false">
      <c r="A9" s="4"/>
      <c r="B9" s="3"/>
      <c r="C9" s="3"/>
    </row>
    <row r="10" customFormat="false" ht="15.75" hidden="false" customHeight="false" outlineLevel="0" collapsed="false">
      <c r="A10" s="4"/>
      <c r="B10" s="3"/>
      <c r="C10" s="3"/>
    </row>
    <row r="11" customFormat="false" ht="15.75" hidden="false" customHeight="false" outlineLevel="0" collapsed="false">
      <c r="A11" s="4"/>
      <c r="B11" s="3"/>
      <c r="C11" s="3"/>
      <c r="E11" s="3" t="s">
        <v>1277</v>
      </c>
    </row>
    <row r="12" customFormat="false" ht="15.75" hidden="false" customHeight="false" outlineLevel="0" collapsed="false">
      <c r="A12" s="4"/>
      <c r="B12" s="3"/>
      <c r="C12" s="3"/>
    </row>
    <row r="13" customFormat="false" ht="15.75" hidden="false" customHeight="false" outlineLevel="0" collapsed="false">
      <c r="A13" s="4"/>
      <c r="B13" s="3"/>
      <c r="C13" s="3"/>
    </row>
    <row r="14" customFormat="false" ht="15.75" hidden="false" customHeight="false" outlineLevel="0" collapsed="false">
      <c r="A14" s="4"/>
      <c r="B14" s="3"/>
      <c r="C14" s="3"/>
    </row>
    <row r="15" customFormat="false" ht="15.75" hidden="false" customHeight="false" outlineLevel="0" collapsed="false">
      <c r="A15" s="4"/>
      <c r="B15" s="3"/>
      <c r="C15" s="3"/>
    </row>
    <row r="16" customFormat="false" ht="15.75" hidden="false" customHeight="false" outlineLevel="0" collapsed="false">
      <c r="A16" s="4"/>
      <c r="B16" s="3"/>
      <c r="C16" s="3"/>
    </row>
    <row r="17" customFormat="false" ht="15.75" hidden="false" customHeight="false" outlineLevel="0" collapsed="false">
      <c r="A17" s="4"/>
      <c r="B17" s="3"/>
      <c r="C17" s="3"/>
    </row>
    <row r="18" customFormat="false" ht="15.75" hidden="false" customHeight="false" outlineLevel="0" collapsed="false">
      <c r="A18" s="4"/>
      <c r="B18" s="3"/>
      <c r="C18" s="3"/>
    </row>
    <row r="19" customFormat="false" ht="15.75" hidden="false" customHeight="false" outlineLevel="0" collapsed="false">
      <c r="A19" s="4"/>
      <c r="B19" s="3"/>
    </row>
    <row r="20" customFormat="false" ht="15.75" hidden="false" customHeight="false" outlineLevel="0" collapsed="false">
      <c r="A20" s="4"/>
      <c r="B20" s="3"/>
      <c r="C20" s="3"/>
    </row>
    <row r="21" customFormat="false" ht="15.75" hidden="false" customHeight="false" outlineLevel="0" collapsed="false">
      <c r="A21" s="4"/>
      <c r="B21" s="3"/>
      <c r="C21" s="3"/>
    </row>
    <row r="22" customFormat="false" ht="15.75" hidden="false" customHeight="false" outlineLevel="0" collapsed="false">
      <c r="A22" s="4"/>
      <c r="C22" s="3"/>
    </row>
    <row r="23" customFormat="false" ht="15.75" hidden="false" customHeight="false" outlineLevel="0" collapsed="false">
      <c r="A23" s="4"/>
      <c r="B23" s="3"/>
      <c r="C23" s="3"/>
    </row>
    <row r="24" customFormat="false" ht="15.75" hidden="false" customHeight="false" outlineLevel="0" collapsed="false">
      <c r="A24" s="4"/>
      <c r="C24" s="3"/>
    </row>
    <row r="25" customFormat="false" ht="15.75" hidden="false" customHeight="false" outlineLevel="0" collapsed="false">
      <c r="A25" s="4"/>
      <c r="C25" s="3"/>
    </row>
    <row r="26" customFormat="false" ht="15.75" hidden="false" customHeight="false" outlineLevel="0" collapsed="false">
      <c r="A26" s="4"/>
      <c r="B26" s="3"/>
      <c r="C26" s="3"/>
    </row>
    <row r="27" customFormat="false" ht="15.75" hidden="false" customHeight="false" outlineLevel="0" collapsed="false">
      <c r="A27" s="4"/>
      <c r="B27" s="3"/>
      <c r="C27" s="3"/>
    </row>
    <row r="28" customFormat="false" ht="15.75" hidden="false" customHeight="false" outlineLevel="0" collapsed="false">
      <c r="A28" s="4"/>
      <c r="B28" s="3"/>
      <c r="C28" s="3"/>
    </row>
    <row r="29" customFormat="false" ht="15.75" hidden="false" customHeight="false" outlineLevel="0" collapsed="false">
      <c r="A29" s="4"/>
      <c r="B29" s="3"/>
      <c r="C29" s="3"/>
    </row>
    <row r="30" customFormat="false" ht="15.75" hidden="false" customHeight="false" outlineLevel="0" collapsed="false">
      <c r="A30" s="4"/>
      <c r="B30" s="3"/>
      <c r="C30" s="3"/>
    </row>
    <row r="31" customFormat="false" ht="15.75" hidden="false" customHeight="false" outlineLevel="0" collapsed="false">
      <c r="A31" s="4"/>
      <c r="B31" s="3"/>
      <c r="C31" s="3"/>
    </row>
    <row r="32" customFormat="false" ht="15.75" hidden="false" customHeight="false" outlineLevel="0" collapsed="false">
      <c r="A32" s="4"/>
      <c r="B32" s="3"/>
      <c r="C32" s="3"/>
    </row>
    <row r="33" customFormat="false" ht="15.75" hidden="false" customHeight="false" outlineLevel="0" collapsed="false">
      <c r="A33" s="4"/>
      <c r="B33" s="3"/>
      <c r="C33" s="3"/>
    </row>
    <row r="34" customFormat="false" ht="15.75" hidden="false" customHeight="false" outlineLevel="0" collapsed="false">
      <c r="A34" s="4"/>
    </row>
    <row r="35" customFormat="false" ht="15.75" hidden="false" customHeight="false" outlineLevel="0" collapsed="false">
      <c r="A35" s="4"/>
    </row>
    <row r="36" customFormat="false" ht="15.75" hidden="false" customHeight="false" outlineLevel="0" collapsed="false">
      <c r="A36" s="4"/>
    </row>
    <row r="37" customFormat="false" ht="15.75" hidden="false" customHeight="false" outlineLevel="0" collapsed="false">
      <c r="A37" s="4"/>
    </row>
    <row r="38" customFormat="false" ht="15.75" hidden="false" customHeight="false" outlineLevel="0" collapsed="false">
      <c r="A38" s="4"/>
      <c r="B38" s="3"/>
      <c r="C38" s="3"/>
    </row>
    <row r="39" customFormat="false" ht="15.75" hidden="false" customHeight="false" outlineLevel="0" collapsed="false">
      <c r="A39" s="4"/>
      <c r="B39" s="3"/>
      <c r="C39" s="3"/>
    </row>
    <row r="40" customFormat="false" ht="15.75" hidden="false" customHeight="false" outlineLevel="0" collapsed="false">
      <c r="A40" s="4"/>
    </row>
    <row r="41" customFormat="false" ht="15.75" hidden="false" customHeight="false" outlineLevel="0" collapsed="false">
      <c r="A41" s="4"/>
      <c r="B41" s="3"/>
      <c r="C41" s="3"/>
    </row>
    <row r="42" customFormat="false" ht="15.75" hidden="false" customHeight="false" outlineLevel="0" collapsed="false">
      <c r="A42" s="4"/>
      <c r="B42" s="3"/>
      <c r="C42" s="3"/>
    </row>
    <row r="43" customFormat="false" ht="15.75" hidden="false" customHeight="false" outlineLevel="0" collapsed="false">
      <c r="A43" s="4"/>
      <c r="B43" s="3"/>
      <c r="C43" s="3"/>
    </row>
    <row r="44" customFormat="false" ht="15.75" hidden="false" customHeight="false" outlineLevel="0" collapsed="false">
      <c r="A44" s="4"/>
      <c r="B44" s="3"/>
      <c r="C44" s="3"/>
    </row>
    <row r="45" customFormat="false" ht="15.75" hidden="false" customHeight="false" outlineLevel="0" collapsed="false">
      <c r="A45" s="4"/>
      <c r="B45" s="3"/>
      <c r="C45" s="3"/>
    </row>
    <row r="46" customFormat="false" ht="15.75" hidden="false" customHeight="false" outlineLevel="0" collapsed="false">
      <c r="A46" s="4"/>
      <c r="B46" s="3"/>
      <c r="C46" s="3"/>
    </row>
    <row r="47" customFormat="false" ht="15.75" hidden="false" customHeight="false" outlineLevel="0" collapsed="false">
      <c r="A47" s="4"/>
      <c r="B47" s="3"/>
      <c r="C47" s="3"/>
    </row>
    <row r="48" customFormat="false" ht="15.75" hidden="false" customHeight="false" outlineLevel="0" collapsed="false">
      <c r="A48" s="4"/>
      <c r="B48" s="3"/>
      <c r="C48" s="3"/>
    </row>
    <row r="49" customFormat="false" ht="15.75" hidden="false" customHeight="false" outlineLevel="0" collapsed="false">
      <c r="A49" s="4"/>
      <c r="B49" s="3"/>
      <c r="C49" s="3"/>
    </row>
    <row r="50" customFormat="false" ht="15.75" hidden="false" customHeight="false" outlineLevel="0" collapsed="false">
      <c r="A50" s="4"/>
      <c r="B50" s="3"/>
      <c r="C50" s="3"/>
    </row>
    <row r="51" customFormat="false" ht="15.75" hidden="false" customHeight="false" outlineLevel="0" collapsed="false">
      <c r="A51" s="4"/>
      <c r="B51" s="3"/>
      <c r="C51" s="3"/>
    </row>
    <row r="52" customFormat="false" ht="15.75" hidden="false" customHeight="false" outlineLevel="0" collapsed="false">
      <c r="A52" s="4"/>
      <c r="B52" s="3"/>
      <c r="C52" s="3"/>
    </row>
    <row r="53" customFormat="false" ht="15.75" hidden="false" customHeight="false" outlineLevel="0" collapsed="false">
      <c r="A53" s="4"/>
      <c r="B53" s="3"/>
      <c r="C53" s="3"/>
    </row>
    <row r="54" customFormat="false" ht="15.75" hidden="false" customHeight="false" outlineLevel="0" collapsed="false">
      <c r="A54" s="4"/>
      <c r="B54" s="3"/>
      <c r="C54" s="3"/>
    </row>
    <row r="55" customFormat="false" ht="15.75" hidden="false" customHeight="false" outlineLevel="0" collapsed="false">
      <c r="A55" s="4"/>
      <c r="B55" s="3"/>
    </row>
    <row r="56" customFormat="false" ht="15.75" hidden="false" customHeight="false" outlineLevel="0" collapsed="false">
      <c r="A56" s="4"/>
      <c r="B56" s="3"/>
      <c r="C56" s="3"/>
    </row>
    <row r="57" customFormat="false" ht="15.75" hidden="false" customHeight="false" outlineLevel="0" collapsed="false">
      <c r="A57" s="4"/>
      <c r="B57" s="3"/>
      <c r="C57" s="3"/>
    </row>
    <row r="58" customFormat="false" ht="15.75" hidden="false" customHeight="false" outlineLevel="0" collapsed="false">
      <c r="A58" s="4"/>
      <c r="B58" s="3"/>
      <c r="C58" s="3"/>
    </row>
    <row r="59" customFormat="false" ht="15.75" hidden="false" customHeight="false" outlineLevel="0" collapsed="false">
      <c r="A59" s="4"/>
      <c r="B59" s="3"/>
      <c r="C59" s="3"/>
    </row>
    <row r="60" customFormat="false" ht="15.75" hidden="false" customHeight="false" outlineLevel="0" collapsed="false">
      <c r="A60" s="4"/>
      <c r="B60" s="3"/>
      <c r="C60" s="3"/>
    </row>
    <row r="61" customFormat="false" ht="15.75" hidden="false" customHeight="false" outlineLevel="0" collapsed="false">
      <c r="A61" s="4"/>
      <c r="B61" s="3"/>
      <c r="C61" s="3"/>
    </row>
    <row r="62" customFormat="false" ht="15.75" hidden="false" customHeight="false" outlineLevel="0" collapsed="false">
      <c r="A62" s="4"/>
      <c r="B62" s="3"/>
      <c r="C62" s="3"/>
    </row>
    <row r="63" customFormat="false" ht="15.75" hidden="false" customHeight="false" outlineLevel="0" collapsed="false">
      <c r="A63" s="4"/>
      <c r="B63" s="3"/>
      <c r="C63" s="3"/>
    </row>
    <row r="64" customFormat="false" ht="15.75" hidden="false" customHeight="false" outlineLevel="0" collapsed="false">
      <c r="A64" s="4"/>
      <c r="B64" s="3"/>
      <c r="C64" s="3"/>
    </row>
    <row r="65" customFormat="false" ht="15.75" hidden="false" customHeight="false" outlineLevel="0" collapsed="false">
      <c r="A65" s="4"/>
      <c r="B65" s="3"/>
      <c r="C65" s="3"/>
    </row>
    <row r="66" customFormat="false" ht="15.75" hidden="false" customHeight="false" outlineLevel="0" collapsed="false">
      <c r="A66" s="4"/>
      <c r="B66" s="3"/>
      <c r="C66" s="3"/>
    </row>
    <row r="67" customFormat="false" ht="15.75" hidden="false" customHeight="false" outlineLevel="0" collapsed="false">
      <c r="A67" s="4"/>
      <c r="B67" s="3"/>
      <c r="C67" s="3"/>
    </row>
    <row r="68" customFormat="false" ht="15.75" hidden="false" customHeight="false" outlineLevel="0" collapsed="false">
      <c r="A68" s="4"/>
      <c r="B68" s="3"/>
      <c r="C68" s="3"/>
    </row>
    <row r="69" customFormat="false" ht="15.75" hidden="false" customHeight="false" outlineLevel="0" collapsed="false">
      <c r="A69" s="4"/>
      <c r="B69" s="3"/>
      <c r="C69" s="3"/>
    </row>
    <row r="70" customFormat="false" ht="15.75" hidden="false" customHeight="false" outlineLevel="0" collapsed="false">
      <c r="A70" s="4"/>
      <c r="B70" s="3"/>
      <c r="C70" s="3"/>
    </row>
    <row r="71" customFormat="false" ht="15.75" hidden="false" customHeight="false" outlineLevel="0" collapsed="false">
      <c r="A71" s="4"/>
      <c r="C71" s="3"/>
    </row>
    <row r="72" customFormat="false" ht="15.75" hidden="false" customHeight="false" outlineLevel="0" collapsed="false">
      <c r="A72" s="4"/>
      <c r="C72" s="3"/>
    </row>
    <row r="73" customFormat="false" ht="15.75" hidden="false" customHeight="false" outlineLevel="0" collapsed="false">
      <c r="A73" s="4"/>
      <c r="C73" s="3"/>
    </row>
    <row r="74" customFormat="false" ht="15.75" hidden="false" customHeight="false" outlineLevel="0" collapsed="false">
      <c r="A74" s="4"/>
      <c r="B74" s="3"/>
      <c r="C74" s="3"/>
    </row>
    <row r="75" customFormat="false" ht="15.75" hidden="false" customHeight="false" outlineLevel="0" collapsed="false">
      <c r="A75" s="4"/>
      <c r="B75" s="3"/>
    </row>
    <row r="76" customFormat="false" ht="15.75" hidden="false" customHeight="false" outlineLevel="0" collapsed="false">
      <c r="A76" s="4"/>
      <c r="B76" s="3"/>
    </row>
    <row r="77" customFormat="false" ht="15.75" hidden="false" customHeight="false" outlineLevel="0" collapsed="false">
      <c r="A77" s="4"/>
      <c r="C77" s="3"/>
    </row>
    <row r="78" customFormat="false" ht="15.75" hidden="false" customHeight="false" outlineLevel="0" collapsed="false">
      <c r="A78" s="4"/>
      <c r="C78" s="3"/>
    </row>
    <row r="79" customFormat="false" ht="15.75" hidden="false" customHeight="false" outlineLevel="0" collapsed="false">
      <c r="A79" s="4"/>
      <c r="C79" s="3"/>
    </row>
    <row r="80" customFormat="false" ht="15.75" hidden="false" customHeight="false" outlineLevel="0" collapsed="false">
      <c r="A80" s="4"/>
      <c r="C80" s="3"/>
    </row>
    <row r="81" customFormat="false" ht="15.75" hidden="false" customHeight="false" outlineLevel="0" collapsed="false">
      <c r="A81" s="4"/>
      <c r="C81" s="3"/>
    </row>
    <row r="82" customFormat="false" ht="15.75" hidden="false" customHeight="false" outlineLevel="0" collapsed="false">
      <c r="A82" s="4"/>
      <c r="C82" s="3"/>
    </row>
    <row r="83" customFormat="false" ht="15.75" hidden="false" customHeight="false" outlineLevel="0" collapsed="false">
      <c r="A83" s="4"/>
      <c r="C83" s="3"/>
    </row>
    <row r="84" customFormat="false" ht="15.75" hidden="false" customHeight="false" outlineLevel="0" collapsed="false">
      <c r="A84" s="4"/>
    </row>
    <row r="85" customFormat="false" ht="15.75" hidden="false" customHeight="false" outlineLevel="0" collapsed="false">
      <c r="A85" s="4"/>
      <c r="B85" s="3"/>
      <c r="C85" s="3"/>
    </row>
    <row r="86" customFormat="false" ht="15.75" hidden="false" customHeight="false" outlineLevel="0" collapsed="false">
      <c r="A86" s="4"/>
      <c r="B86" s="3"/>
      <c r="C86" s="3"/>
    </row>
    <row r="87" customFormat="false" ht="15.75" hidden="false" customHeight="false" outlineLevel="0" collapsed="false">
      <c r="A87" s="4"/>
      <c r="B87" s="3"/>
      <c r="C87" s="3"/>
    </row>
    <row r="88" customFormat="false" ht="15.75" hidden="false" customHeight="false" outlineLevel="0" collapsed="false">
      <c r="A88" s="4"/>
      <c r="B88" s="3"/>
      <c r="C88" s="3"/>
    </row>
    <row r="89" customFormat="false" ht="15.75" hidden="false" customHeight="false" outlineLevel="0" collapsed="false">
      <c r="A89" s="4"/>
      <c r="B89" s="3"/>
      <c r="C89" s="3"/>
    </row>
    <row r="90" customFormat="false" ht="15.75" hidden="false" customHeight="false" outlineLevel="0" collapsed="false">
      <c r="A90" s="4"/>
      <c r="B90" s="3"/>
      <c r="C90" s="3"/>
    </row>
    <row r="91" customFormat="false" ht="15.75" hidden="false" customHeight="false" outlineLevel="0" collapsed="false">
      <c r="A91" s="4"/>
      <c r="B91" s="3"/>
      <c r="C91" s="3"/>
    </row>
    <row r="92" customFormat="false" ht="15.75" hidden="false" customHeight="false" outlineLevel="0" collapsed="false">
      <c r="A92" s="4"/>
      <c r="B92" s="3"/>
      <c r="C92" s="3"/>
    </row>
    <row r="93" customFormat="false" ht="15.75" hidden="false" customHeight="false" outlineLevel="0" collapsed="false">
      <c r="A93" s="4"/>
      <c r="B93" s="3"/>
      <c r="C93" s="3"/>
    </row>
    <row r="94" customFormat="false" ht="15.75" hidden="false" customHeight="false" outlineLevel="0" collapsed="false">
      <c r="A94" s="4"/>
      <c r="B94" s="3"/>
      <c r="C94" s="3"/>
    </row>
    <row r="95" customFormat="false" ht="15.75" hidden="false" customHeight="false" outlineLevel="0" collapsed="false">
      <c r="A95" s="4"/>
      <c r="B95" s="3"/>
      <c r="C95" s="3"/>
    </row>
    <row r="96" customFormat="false" ht="15.75" hidden="false" customHeight="false" outlineLevel="0" collapsed="false">
      <c r="A96" s="4"/>
      <c r="B96" s="3"/>
      <c r="C96" s="3"/>
    </row>
    <row r="97" customFormat="false" ht="15.75" hidden="false" customHeight="false" outlineLevel="0" collapsed="false">
      <c r="A97" s="4"/>
      <c r="B97" s="3"/>
      <c r="C97" s="3"/>
    </row>
    <row r="98" customFormat="false" ht="15.75" hidden="false" customHeight="false" outlineLevel="0" collapsed="false">
      <c r="A98" s="4"/>
      <c r="B98" s="3"/>
      <c r="C98" s="3"/>
    </row>
    <row r="99" customFormat="false" ht="15.75" hidden="false" customHeight="false" outlineLevel="0" collapsed="false">
      <c r="A99" s="4"/>
      <c r="B99" s="3"/>
      <c r="C99" s="3"/>
    </row>
    <row r="100" customFormat="false" ht="15.75" hidden="false" customHeight="false" outlineLevel="0" collapsed="false">
      <c r="A100" s="4"/>
      <c r="B100" s="3"/>
      <c r="C100" s="3"/>
    </row>
    <row r="101" customFormat="false" ht="15.75" hidden="false" customHeight="false" outlineLevel="0" collapsed="false">
      <c r="A101" s="4"/>
      <c r="B101" s="3"/>
      <c r="C101" s="3"/>
    </row>
    <row r="102" customFormat="false" ht="15.75" hidden="false" customHeight="false" outlineLevel="0" collapsed="false">
      <c r="A102" s="4"/>
      <c r="B102" s="3"/>
      <c r="C102" s="3"/>
    </row>
    <row r="103" customFormat="false" ht="15.75" hidden="false" customHeight="false" outlineLevel="0" collapsed="false">
      <c r="A103" s="4"/>
      <c r="B103" s="3"/>
      <c r="C103" s="3"/>
    </row>
    <row r="104" customFormat="false" ht="15.75" hidden="false" customHeight="false" outlineLevel="0" collapsed="false">
      <c r="A104" s="4"/>
      <c r="B104" s="3"/>
      <c r="C104" s="3"/>
    </row>
    <row r="105" customFormat="false" ht="15.75" hidden="false" customHeight="false" outlineLevel="0" collapsed="false">
      <c r="A105" s="4"/>
      <c r="B105" s="3"/>
      <c r="C105" s="3"/>
    </row>
    <row r="106" customFormat="false" ht="15.75" hidden="false" customHeight="false" outlineLevel="0" collapsed="false">
      <c r="A106" s="4"/>
      <c r="B106" s="3"/>
      <c r="C106" s="3"/>
    </row>
    <row r="107" customFormat="false" ht="15.75" hidden="false" customHeight="false" outlineLevel="0" collapsed="false">
      <c r="A107" s="4"/>
      <c r="B107" s="3"/>
      <c r="C107" s="3"/>
    </row>
    <row r="108" customFormat="false" ht="15.75" hidden="false" customHeight="false" outlineLevel="0" collapsed="false">
      <c r="A108" s="4"/>
      <c r="B108" s="3"/>
      <c r="C108" s="3"/>
    </row>
    <row r="109" customFormat="false" ht="15.75" hidden="false" customHeight="false" outlineLevel="0" collapsed="false">
      <c r="A109" s="4"/>
      <c r="B109" s="3"/>
      <c r="C109" s="3"/>
    </row>
    <row r="110" customFormat="false" ht="15.75" hidden="false" customHeight="false" outlineLevel="0" collapsed="false">
      <c r="A110" s="4"/>
      <c r="B110" s="3"/>
      <c r="C110" s="3"/>
    </row>
    <row r="111" customFormat="false" ht="15.75" hidden="false" customHeight="false" outlineLevel="0" collapsed="false">
      <c r="A111" s="4"/>
      <c r="B111" s="3"/>
      <c r="C111" s="3"/>
    </row>
    <row r="112" customFormat="false" ht="15.75" hidden="false" customHeight="false" outlineLevel="0" collapsed="false">
      <c r="A112" s="4"/>
      <c r="B112" s="3"/>
      <c r="C112" s="3"/>
    </row>
    <row r="113" customFormat="false" ht="15.75" hidden="false" customHeight="false" outlineLevel="0" collapsed="false">
      <c r="A113" s="4"/>
      <c r="B113" s="3"/>
      <c r="C113" s="3"/>
    </row>
    <row r="114" customFormat="false" ht="15.75" hidden="false" customHeight="false" outlineLevel="0" collapsed="false">
      <c r="A114" s="4"/>
      <c r="B114" s="3"/>
      <c r="C114" s="3"/>
    </row>
    <row r="115" customFormat="false" ht="15.75" hidden="false" customHeight="false" outlineLevel="0" collapsed="false">
      <c r="A115" s="4"/>
      <c r="B115" s="3"/>
      <c r="C115" s="3"/>
    </row>
    <row r="116" customFormat="false" ht="15.75" hidden="false" customHeight="false" outlineLevel="0" collapsed="false">
      <c r="A116" s="4"/>
      <c r="B116" s="3"/>
      <c r="C116" s="3"/>
    </row>
    <row r="117" customFormat="false" ht="15.75" hidden="false" customHeight="false" outlineLevel="0" collapsed="false">
      <c r="A117" s="4"/>
      <c r="B117" s="3"/>
      <c r="C117" s="3"/>
    </row>
    <row r="118" customFormat="false" ht="15.75" hidden="false" customHeight="false" outlineLevel="0" collapsed="false">
      <c r="A118" s="4"/>
      <c r="B118" s="3"/>
      <c r="C118" s="3"/>
    </row>
    <row r="119" customFormat="false" ht="15.75" hidden="false" customHeight="false" outlineLevel="0" collapsed="false">
      <c r="A119" s="4"/>
      <c r="B119" s="3"/>
      <c r="C119" s="3"/>
    </row>
    <row r="120" customFormat="false" ht="15.75" hidden="false" customHeight="false" outlineLevel="0" collapsed="false">
      <c r="A120" s="4"/>
      <c r="B120" s="3"/>
      <c r="C120" s="3"/>
    </row>
    <row r="121" customFormat="false" ht="15.75" hidden="false" customHeight="false" outlineLevel="0" collapsed="false">
      <c r="A121" s="4"/>
    </row>
    <row r="122" customFormat="false" ht="15.75" hidden="false" customHeight="false" outlineLevel="0" collapsed="false">
      <c r="A122" s="4"/>
    </row>
    <row r="123" customFormat="false" ht="15.75" hidden="false" customHeight="false" outlineLevel="0" collapsed="false">
      <c r="A123" s="4"/>
    </row>
    <row r="124" customFormat="false" ht="15.75" hidden="false" customHeight="false" outlineLevel="0" collapsed="false">
      <c r="A124" s="4"/>
      <c r="B124" s="3"/>
      <c r="C124" s="3"/>
    </row>
    <row r="125" customFormat="false" ht="15.75" hidden="false" customHeight="false" outlineLevel="0" collapsed="false">
      <c r="A125" s="4"/>
    </row>
    <row r="126" customFormat="false" ht="15.75" hidden="false" customHeight="false" outlineLevel="0" collapsed="false">
      <c r="A126" s="4"/>
    </row>
    <row r="127" customFormat="false" ht="15.75" hidden="false" customHeight="false" outlineLevel="0" collapsed="false">
      <c r="A127" s="4"/>
    </row>
    <row r="128" customFormat="false" ht="15.75" hidden="false" customHeight="false" outlineLevel="0" collapsed="false">
      <c r="A128" s="4"/>
    </row>
    <row r="129" customFormat="false" ht="15.75" hidden="false" customHeight="false" outlineLevel="0" collapsed="false">
      <c r="A129" s="4"/>
    </row>
    <row r="130" customFormat="false" ht="15.75" hidden="false" customHeight="false" outlineLevel="0" collapsed="false">
      <c r="A130" s="4"/>
    </row>
    <row r="131" customFormat="false" ht="15.75" hidden="false" customHeight="false" outlineLevel="0" collapsed="false">
      <c r="A131" s="4"/>
      <c r="C131" s="3"/>
    </row>
    <row r="132" customFormat="false" ht="15.75" hidden="false" customHeight="false" outlineLevel="0" collapsed="false">
      <c r="A132" s="4"/>
      <c r="C132" s="3"/>
    </row>
    <row r="133" customFormat="false" ht="15.75" hidden="false" customHeight="false" outlineLevel="0" collapsed="false">
      <c r="A133" s="4"/>
    </row>
    <row r="134" customFormat="false" ht="15.75" hidden="false" customHeight="false" outlineLevel="0" collapsed="false">
      <c r="A134" s="4"/>
    </row>
    <row r="135" customFormat="false" ht="15.75" hidden="false" customHeight="false" outlineLevel="0" collapsed="false">
      <c r="A135" s="4"/>
    </row>
    <row r="136" customFormat="false" ht="15.75" hidden="false" customHeight="false" outlineLevel="0" collapsed="false">
      <c r="A136" s="4"/>
    </row>
    <row r="137" customFormat="false" ht="15.75" hidden="false" customHeight="false" outlineLevel="0" collapsed="false">
      <c r="A137" s="4"/>
    </row>
    <row r="138" customFormat="false" ht="15.75" hidden="false" customHeight="false" outlineLevel="0" collapsed="false">
      <c r="A138" s="4"/>
    </row>
    <row r="139" customFormat="false" ht="15.75" hidden="false" customHeight="false" outlineLevel="0" collapsed="false">
      <c r="A139" s="4"/>
    </row>
    <row r="140" customFormat="false" ht="15.75" hidden="false" customHeight="false" outlineLevel="0" collapsed="false">
      <c r="A140" s="4"/>
      <c r="C140" s="3"/>
    </row>
    <row r="141" customFormat="false" ht="15.75" hidden="false" customHeight="false" outlineLevel="0" collapsed="false">
      <c r="A141" s="4"/>
      <c r="C141" s="3"/>
    </row>
    <row r="142" customFormat="false" ht="15.75" hidden="false" customHeight="false" outlineLevel="0" collapsed="false">
      <c r="A142" s="4"/>
      <c r="C142" s="3"/>
    </row>
    <row r="143" customFormat="false" ht="15.75" hidden="false" customHeight="false" outlineLevel="0" collapsed="false">
      <c r="A143" s="4"/>
      <c r="C143" s="3"/>
    </row>
    <row r="144" customFormat="false" ht="15.75" hidden="false" customHeight="false" outlineLevel="0" collapsed="false">
      <c r="A144" s="4"/>
      <c r="C144" s="3"/>
    </row>
    <row r="145" customFormat="false" ht="15.75" hidden="false" customHeight="false" outlineLevel="0" collapsed="false">
      <c r="A145" s="4"/>
      <c r="C145" s="3"/>
    </row>
    <row r="146" customFormat="false" ht="15.75" hidden="false" customHeight="false" outlineLevel="0" collapsed="false">
      <c r="A146" s="4"/>
    </row>
    <row r="147" customFormat="false" ht="15.75" hidden="false" customHeight="false" outlineLevel="0" collapsed="false">
      <c r="A147" s="4"/>
      <c r="B147" s="3"/>
    </row>
    <row r="148" customFormat="false" ht="15.75" hidden="false" customHeight="false" outlineLevel="0" collapsed="false">
      <c r="A148" s="4"/>
    </row>
    <row r="149" customFormat="false" ht="15.75" hidden="false" customHeight="false" outlineLevel="0" collapsed="false">
      <c r="A149" s="4"/>
      <c r="B149" s="3"/>
    </row>
    <row r="150" customFormat="false" ht="15.75" hidden="false" customHeight="false" outlineLevel="0" collapsed="false">
      <c r="A150" s="4"/>
      <c r="B150" s="3"/>
    </row>
    <row r="151" customFormat="false" ht="15.75" hidden="false" customHeight="false" outlineLevel="0" collapsed="false">
      <c r="A151" s="4"/>
      <c r="C151" s="3"/>
    </row>
    <row r="152" customFormat="false" ht="15.75" hidden="false" customHeight="false" outlineLevel="0" collapsed="false">
      <c r="A152" s="4"/>
      <c r="C152" s="3"/>
    </row>
    <row r="153" customFormat="false" ht="15.75" hidden="false" customHeight="false" outlineLevel="0" collapsed="false">
      <c r="A153" s="4"/>
      <c r="C153" s="3"/>
    </row>
    <row r="154" customFormat="false" ht="15.75" hidden="false" customHeight="false" outlineLevel="0" collapsed="false">
      <c r="A154" s="4"/>
      <c r="C154" s="3"/>
    </row>
    <row r="155" customFormat="false" ht="15.75" hidden="false" customHeight="false" outlineLevel="0" collapsed="false">
      <c r="A155" s="4"/>
      <c r="C155" s="3"/>
    </row>
    <row r="156" customFormat="false" ht="15.75" hidden="false" customHeight="false" outlineLevel="0" collapsed="false">
      <c r="A156" s="4"/>
      <c r="C156" s="3"/>
    </row>
    <row r="157" customFormat="false" ht="15.75" hidden="false" customHeight="false" outlineLevel="0" collapsed="false">
      <c r="A157" s="4"/>
      <c r="C157" s="3"/>
    </row>
    <row r="158" customFormat="false" ht="15.75" hidden="false" customHeight="false" outlineLevel="0" collapsed="false">
      <c r="A158" s="4"/>
    </row>
    <row r="159" customFormat="false" ht="15.75" hidden="false" customHeight="false" outlineLevel="0" collapsed="false">
      <c r="A159" s="4"/>
      <c r="C159" s="3"/>
    </row>
    <row r="160" customFormat="false" ht="15.75" hidden="false" customHeight="false" outlineLevel="0" collapsed="false">
      <c r="A160" s="4"/>
      <c r="C160" s="3"/>
    </row>
    <row r="161" customFormat="false" ht="15.75" hidden="false" customHeight="false" outlineLevel="0" collapsed="false">
      <c r="A161" s="4"/>
    </row>
    <row r="162" customFormat="false" ht="15.75" hidden="false" customHeight="false" outlineLevel="0" collapsed="false">
      <c r="A162" s="4"/>
    </row>
    <row r="163" customFormat="false" ht="15.75" hidden="false" customHeight="false" outlineLevel="0" collapsed="false">
      <c r="A163" s="4"/>
      <c r="C163" s="3"/>
    </row>
    <row r="164" customFormat="false" ht="15.75" hidden="false" customHeight="false" outlineLevel="0" collapsed="false">
      <c r="A164" s="4"/>
      <c r="C164" s="3"/>
    </row>
    <row r="165" customFormat="false" ht="15.75" hidden="false" customHeight="false" outlineLevel="0" collapsed="false">
      <c r="A165" s="4"/>
      <c r="C165" s="3"/>
    </row>
    <row r="166" customFormat="false" ht="15.75" hidden="false" customHeight="false" outlineLevel="0" collapsed="false">
      <c r="A166" s="4"/>
      <c r="B166" s="3"/>
      <c r="C166" s="3"/>
    </row>
    <row r="167" customFormat="false" ht="15.75" hidden="false" customHeight="false" outlineLevel="0" collapsed="false">
      <c r="A167" s="4"/>
      <c r="B167" s="3"/>
      <c r="C167" s="3"/>
    </row>
    <row r="168" customFormat="false" ht="15.75" hidden="false" customHeight="false" outlineLevel="0" collapsed="false">
      <c r="A168" s="4"/>
    </row>
    <row r="169" customFormat="false" ht="15.75" hidden="false" customHeight="false" outlineLevel="0" collapsed="false">
      <c r="A169" s="4"/>
    </row>
    <row r="170" customFormat="false" ht="15.75" hidden="false" customHeight="false" outlineLevel="0" collapsed="false">
      <c r="A170" s="4"/>
    </row>
    <row r="171" customFormat="false" ht="15.75" hidden="false" customHeight="false" outlineLevel="0" collapsed="false">
      <c r="A171" s="4"/>
    </row>
    <row r="172" customFormat="false" ht="15.75" hidden="false" customHeight="false" outlineLevel="0" collapsed="false">
      <c r="A172" s="4"/>
    </row>
    <row r="173" customFormat="false" ht="15.75" hidden="false" customHeight="false" outlineLevel="0" collapsed="false">
      <c r="A173" s="4"/>
    </row>
    <row r="174" customFormat="false" ht="15.75" hidden="false" customHeight="false" outlineLevel="0" collapsed="false">
      <c r="A174" s="4"/>
    </row>
    <row r="175" customFormat="false" ht="15.75" hidden="false" customHeight="false" outlineLevel="0" collapsed="false">
      <c r="A175" s="4"/>
    </row>
    <row r="176" customFormat="false" ht="15.75" hidden="false" customHeight="false" outlineLevel="0" collapsed="false">
      <c r="A176" s="4"/>
    </row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false" outlineLevel="0" collapsed="false">
      <c r="A179" s="4"/>
    </row>
    <row r="180" customFormat="false" ht="15.75" hidden="false" customHeight="false" outlineLevel="0" collapsed="false">
      <c r="A180" s="4"/>
    </row>
    <row r="181" customFormat="false" ht="15.75" hidden="false" customHeight="false" outlineLevel="0" collapsed="false">
      <c r="A181" s="4"/>
    </row>
    <row r="182" customFormat="false" ht="15.75" hidden="false" customHeight="false" outlineLevel="0" collapsed="false">
      <c r="A182" s="4"/>
    </row>
    <row r="183" customFormat="false" ht="15.75" hidden="false" customHeight="false" outlineLevel="0" collapsed="false">
      <c r="A183" s="4"/>
    </row>
    <row r="184" customFormat="false" ht="15.75" hidden="false" customHeight="false" outlineLevel="0" collapsed="false">
      <c r="A184" s="4"/>
      <c r="B184" s="3"/>
    </row>
    <row r="185" customFormat="false" ht="15.75" hidden="false" customHeight="false" outlineLevel="0" collapsed="false">
      <c r="A185" s="4"/>
    </row>
    <row r="186" customFormat="false" ht="15.75" hidden="false" customHeight="false" outlineLevel="0" collapsed="false">
      <c r="A186" s="4"/>
    </row>
    <row r="187" customFormat="false" ht="15.75" hidden="false" customHeight="false" outlineLevel="0" collapsed="false">
      <c r="A187" s="4"/>
      <c r="B187" s="3"/>
    </row>
    <row r="188" customFormat="false" ht="15.75" hidden="false" customHeight="false" outlineLevel="0" collapsed="false">
      <c r="A188" s="4"/>
      <c r="B188" s="3"/>
      <c r="C188" s="3"/>
    </row>
    <row r="189" customFormat="false" ht="15.75" hidden="false" customHeight="false" outlineLevel="0" collapsed="false">
      <c r="A189" s="4"/>
      <c r="B189" s="3"/>
      <c r="C189" s="3"/>
    </row>
    <row r="190" customFormat="false" ht="15.75" hidden="false" customHeight="false" outlineLevel="0" collapsed="false">
      <c r="A190" s="4"/>
      <c r="B190" s="3"/>
    </row>
    <row r="191" customFormat="false" ht="15.75" hidden="false" customHeight="false" outlineLevel="0" collapsed="false">
      <c r="A191" s="4"/>
      <c r="B191" s="3"/>
      <c r="C191" s="3"/>
    </row>
    <row r="192" customFormat="false" ht="15.75" hidden="false" customHeight="false" outlineLevel="0" collapsed="false">
      <c r="A192" s="4"/>
      <c r="B192" s="3"/>
      <c r="C192" s="3"/>
    </row>
    <row r="193" customFormat="false" ht="15.75" hidden="false" customHeight="false" outlineLevel="0" collapsed="false">
      <c r="A193" s="4"/>
      <c r="B193" s="3"/>
      <c r="C193" s="3"/>
    </row>
    <row r="194" customFormat="false" ht="15.75" hidden="false" customHeight="false" outlineLevel="0" collapsed="false">
      <c r="A194" s="4"/>
      <c r="B194" s="3"/>
      <c r="C194" s="3"/>
    </row>
    <row r="195" customFormat="false" ht="15.75" hidden="false" customHeight="false" outlineLevel="0" collapsed="false">
      <c r="A195" s="4"/>
      <c r="B195" s="3"/>
      <c r="C195" s="3"/>
    </row>
    <row r="196" customFormat="false" ht="15.75" hidden="false" customHeight="false" outlineLevel="0" collapsed="false">
      <c r="A196" s="4"/>
      <c r="B196" s="3"/>
    </row>
    <row r="197" customFormat="false" ht="15.75" hidden="false" customHeight="false" outlineLevel="0" collapsed="false">
      <c r="A197" s="3"/>
      <c r="B197" s="3"/>
    </row>
    <row r="198" customFormat="false" ht="15.75" hidden="false" customHeight="false" outlineLevel="0" collapsed="false">
      <c r="A198" s="3"/>
      <c r="B198" s="3"/>
    </row>
    <row r="199" customFormat="false" ht="15.75" hidden="false" customHeight="false" outlineLevel="0" collapsed="false">
      <c r="A199" s="4"/>
    </row>
    <row r="200" customFormat="false" ht="15.75" hidden="false" customHeight="false" outlineLevel="0" collapsed="false">
      <c r="A200" s="4"/>
      <c r="B200" s="3"/>
    </row>
    <row r="201" customFormat="false" ht="15.75" hidden="false" customHeight="false" outlineLevel="0" collapsed="false">
      <c r="A201" s="4"/>
      <c r="B201" s="3"/>
      <c r="C201" s="3"/>
    </row>
    <row r="202" customFormat="false" ht="15.75" hidden="false" customHeight="false" outlineLevel="0" collapsed="false">
      <c r="A202" s="4"/>
      <c r="B202" s="3"/>
      <c r="C202" s="3"/>
    </row>
    <row r="203" customFormat="false" ht="15.75" hidden="false" customHeight="false" outlineLevel="0" collapsed="false">
      <c r="A203" s="4"/>
    </row>
    <row r="204" customFormat="false" ht="15.75" hidden="false" customHeight="false" outlineLevel="0" collapsed="false">
      <c r="A204" s="4"/>
      <c r="B204" s="3"/>
    </row>
    <row r="205" customFormat="false" ht="15.75" hidden="false" customHeight="false" outlineLevel="0" collapsed="false">
      <c r="A205" s="4"/>
    </row>
    <row r="206" customFormat="false" ht="15.75" hidden="false" customHeight="false" outlineLevel="0" collapsed="false">
      <c r="A206" s="4"/>
    </row>
    <row r="207" customFormat="false" ht="15.75" hidden="false" customHeight="false" outlineLevel="0" collapsed="false">
      <c r="A207" s="4"/>
      <c r="C207" s="3"/>
    </row>
    <row r="208" customFormat="false" ht="15.75" hidden="false" customHeight="false" outlineLevel="0" collapsed="false">
      <c r="A208" s="4"/>
      <c r="B208" s="3"/>
    </row>
    <row r="209" customFormat="false" ht="15.75" hidden="false" customHeight="false" outlineLevel="0" collapsed="false">
      <c r="A209" s="3"/>
      <c r="C209" s="3"/>
    </row>
    <row r="210" customFormat="false" ht="15.75" hidden="false" customHeight="false" outlineLevel="0" collapsed="false">
      <c r="A210" s="3"/>
      <c r="B210" s="3"/>
      <c r="C210" s="3"/>
    </row>
    <row r="211" customFormat="false" ht="15.75" hidden="false" customHeight="false" outlineLevel="0" collapsed="false">
      <c r="A211" s="3"/>
      <c r="B211" s="3"/>
      <c r="C211" s="3"/>
    </row>
    <row r="212" customFormat="false" ht="15.75" hidden="false" customHeight="false" outlineLevel="0" collapsed="false">
      <c r="A212" s="3"/>
      <c r="B212" s="3"/>
      <c r="C212" s="3"/>
    </row>
    <row r="213" customFormat="false" ht="15.75" hidden="false" customHeight="false" outlineLevel="0" collapsed="false">
      <c r="A213" s="3"/>
      <c r="B213" s="3"/>
      <c r="C213" s="3"/>
    </row>
    <row r="214" customFormat="false" ht="15.75" hidden="false" customHeight="false" outlineLevel="0" collapsed="false">
      <c r="A214" s="3"/>
      <c r="B214" s="3"/>
      <c r="C214" s="3"/>
    </row>
    <row r="215" customFormat="false" ht="15.75" hidden="false" customHeight="false" outlineLevel="0" collapsed="false">
      <c r="A215" s="3"/>
      <c r="B215" s="3"/>
      <c r="C215" s="3"/>
    </row>
    <row r="216" customFormat="false" ht="15.75" hidden="false" customHeight="false" outlineLevel="0" collapsed="false">
      <c r="A216" s="3"/>
      <c r="B216" s="3"/>
      <c r="C216" s="3"/>
    </row>
    <row r="217" customFormat="false" ht="15.75" hidden="false" customHeight="false" outlineLevel="0" collapsed="false">
      <c r="A217" s="3"/>
      <c r="B217" s="3"/>
      <c r="C217" s="3"/>
    </row>
    <row r="218" customFormat="false" ht="15.75" hidden="false" customHeight="false" outlineLevel="0" collapsed="false">
      <c r="A218" s="3"/>
      <c r="B218" s="3"/>
      <c r="C218" s="3"/>
    </row>
    <row r="219" customFormat="false" ht="15.75" hidden="false" customHeight="false" outlineLevel="0" collapsed="false">
      <c r="A219" s="3"/>
      <c r="B219" s="3"/>
      <c r="C219" s="3"/>
    </row>
    <row r="220" customFormat="false" ht="15.75" hidden="false" customHeight="false" outlineLevel="0" collapsed="false">
      <c r="A220" s="3"/>
      <c r="B220" s="3"/>
      <c r="C220" s="3"/>
    </row>
    <row r="221" customFormat="false" ht="15.75" hidden="false" customHeight="false" outlineLevel="0" collapsed="false">
      <c r="A221" s="3"/>
      <c r="B221" s="3"/>
      <c r="C221" s="3"/>
    </row>
    <row r="222" customFormat="false" ht="15.75" hidden="false" customHeight="false" outlineLevel="0" collapsed="false">
      <c r="A222" s="4"/>
    </row>
    <row r="223" customFormat="false" ht="15.75" hidden="false" customHeight="false" outlineLevel="0" collapsed="false">
      <c r="A223" s="4"/>
    </row>
    <row r="224" customFormat="false" ht="15.75" hidden="false" customHeight="false" outlineLevel="0" collapsed="false">
      <c r="A224" s="4"/>
      <c r="B224" s="3"/>
    </row>
    <row r="225" customFormat="false" ht="15.75" hidden="false" customHeight="false" outlineLevel="0" collapsed="false">
      <c r="A225" s="4"/>
      <c r="B225" s="3"/>
    </row>
    <row r="226" customFormat="false" ht="15.75" hidden="false" customHeight="false" outlineLevel="0" collapsed="false">
      <c r="A226" s="4"/>
    </row>
    <row r="227" customFormat="false" ht="15.75" hidden="false" customHeight="false" outlineLevel="0" collapsed="false">
      <c r="A227" s="4"/>
      <c r="B227" s="3"/>
      <c r="C227" s="3"/>
    </row>
    <row r="228" customFormat="false" ht="15.75" hidden="false" customHeight="false" outlineLevel="0" collapsed="false">
      <c r="A228" s="4"/>
      <c r="B228" s="3"/>
      <c r="C228" s="3"/>
    </row>
    <row r="229" customFormat="false" ht="15.75" hidden="false" customHeight="false" outlineLevel="0" collapsed="false">
      <c r="A229" s="4"/>
    </row>
    <row r="230" customFormat="false" ht="15.75" hidden="false" customHeight="false" outlineLevel="0" collapsed="false">
      <c r="A230" s="4"/>
      <c r="C230" s="3"/>
    </row>
    <row r="231" customFormat="false" ht="15.75" hidden="false" customHeight="false" outlineLevel="0" collapsed="false">
      <c r="A231" s="4"/>
      <c r="B231" s="3"/>
      <c r="C231" s="3"/>
    </row>
    <row r="232" customFormat="false" ht="15.75" hidden="false" customHeight="false" outlineLevel="0" collapsed="false">
      <c r="A232" s="4"/>
      <c r="B232" s="3"/>
      <c r="C232" s="3"/>
    </row>
    <row r="233" customFormat="false" ht="15.75" hidden="false" customHeight="false" outlineLevel="0" collapsed="false">
      <c r="A233" s="4"/>
      <c r="B233" s="3"/>
      <c r="C233" s="3"/>
    </row>
    <row r="234" customFormat="false" ht="15.75" hidden="false" customHeight="false" outlineLevel="0" collapsed="false">
      <c r="A234" s="4"/>
      <c r="B234" s="3"/>
      <c r="C234" s="3"/>
    </row>
    <row r="235" customFormat="false" ht="15.75" hidden="false" customHeight="false" outlineLevel="0" collapsed="false">
      <c r="A235" s="4"/>
      <c r="B235" s="3"/>
      <c r="C235" s="3"/>
    </row>
    <row r="236" customFormat="false" ht="15.75" hidden="false" customHeight="false" outlineLevel="0" collapsed="false">
      <c r="A236" s="4"/>
      <c r="B236" s="3"/>
      <c r="C236" s="3"/>
    </row>
    <row r="237" customFormat="false" ht="15.75" hidden="false" customHeight="false" outlineLevel="0" collapsed="false">
      <c r="A237" s="4"/>
      <c r="B237" s="3"/>
      <c r="C237" s="3"/>
    </row>
    <row r="238" customFormat="false" ht="15.75" hidden="false" customHeight="false" outlineLevel="0" collapsed="false">
      <c r="A238" s="4"/>
    </row>
    <row r="239" customFormat="false" ht="15.75" hidden="false" customHeight="false" outlineLevel="0" collapsed="false">
      <c r="A239" s="4"/>
      <c r="B239" s="3"/>
      <c r="C239" s="3"/>
    </row>
    <row r="240" customFormat="false" ht="15.75" hidden="false" customHeight="false" outlineLevel="0" collapsed="false">
      <c r="A240" s="4"/>
      <c r="B240" s="3"/>
      <c r="C240" s="3"/>
    </row>
    <row r="241" customFormat="false" ht="15.75" hidden="false" customHeight="false" outlineLevel="0" collapsed="false">
      <c r="A241" s="4"/>
      <c r="B241" s="3"/>
      <c r="C241" s="3"/>
    </row>
    <row r="242" customFormat="false" ht="15.75" hidden="false" customHeight="false" outlineLevel="0" collapsed="false">
      <c r="A242" s="4"/>
      <c r="B242" s="3"/>
    </row>
    <row r="243" customFormat="false" ht="15.75" hidden="false" customHeight="false" outlineLevel="0" collapsed="false">
      <c r="A243" s="4"/>
      <c r="B243" s="3"/>
      <c r="C243" s="3"/>
    </row>
    <row r="244" customFormat="false" ht="15.75" hidden="false" customHeight="false" outlineLevel="0" collapsed="false">
      <c r="A244" s="4"/>
      <c r="B244" s="3"/>
      <c r="C244" s="3"/>
    </row>
    <row r="245" customFormat="false" ht="15.75" hidden="false" customHeight="false" outlineLevel="0" collapsed="false">
      <c r="A245" s="4"/>
      <c r="C245" s="3"/>
    </row>
    <row r="246" customFormat="false" ht="15.75" hidden="false" customHeight="false" outlineLevel="0" collapsed="false">
      <c r="A246" s="4"/>
      <c r="B246" s="3"/>
      <c r="C246" s="3"/>
    </row>
    <row r="247" customFormat="false" ht="15.75" hidden="false" customHeight="false" outlineLevel="0" collapsed="false">
      <c r="A247" s="4"/>
      <c r="B247" s="3"/>
      <c r="C247" s="3"/>
    </row>
    <row r="248" customFormat="false" ht="15.75" hidden="false" customHeight="false" outlineLevel="0" collapsed="false">
      <c r="A248" s="4"/>
      <c r="B248" s="3"/>
      <c r="C248" s="3"/>
    </row>
    <row r="249" customFormat="false" ht="15.75" hidden="false" customHeight="false" outlineLevel="0" collapsed="false">
      <c r="A249" s="4"/>
      <c r="B249" s="3"/>
      <c r="C249" s="3"/>
    </row>
    <row r="250" customFormat="false" ht="15.75" hidden="false" customHeight="false" outlineLevel="0" collapsed="false">
      <c r="A250" s="4"/>
      <c r="B250" s="3"/>
      <c r="C250" s="3"/>
    </row>
    <row r="251" customFormat="false" ht="15.75" hidden="false" customHeight="false" outlineLevel="0" collapsed="false">
      <c r="A251" s="4"/>
      <c r="B251" s="3"/>
      <c r="C251" s="3"/>
    </row>
    <row r="252" customFormat="false" ht="15.75" hidden="false" customHeight="false" outlineLevel="0" collapsed="false">
      <c r="A252" s="4"/>
      <c r="B252" s="3"/>
      <c r="C252" s="3"/>
    </row>
    <row r="253" customFormat="false" ht="15.75" hidden="false" customHeight="false" outlineLevel="0" collapsed="false">
      <c r="A253" s="4"/>
      <c r="B253" s="3"/>
      <c r="C253" s="3"/>
    </row>
    <row r="254" customFormat="false" ht="15.75" hidden="false" customHeight="false" outlineLevel="0" collapsed="false">
      <c r="A254" s="4"/>
      <c r="B254" s="3"/>
      <c r="C254" s="10"/>
    </row>
    <row r="255" customFormat="false" ht="15.75" hidden="false" customHeight="false" outlineLevel="0" collapsed="false">
      <c r="A255" s="4"/>
      <c r="B255" s="3"/>
      <c r="C255" s="3"/>
    </row>
    <row r="256" customFormat="false" ht="15.75" hidden="false" customHeight="false" outlineLevel="0" collapsed="false">
      <c r="A256" s="4"/>
      <c r="B256" s="3"/>
      <c r="C256" s="3"/>
    </row>
    <row r="257" customFormat="false" ht="15.75" hidden="false" customHeight="false" outlineLevel="0" collapsed="false">
      <c r="A257" s="4"/>
      <c r="B257" s="3"/>
      <c r="C257" s="3"/>
    </row>
    <row r="258" customFormat="false" ht="15.75" hidden="false" customHeight="false" outlineLevel="0" collapsed="false">
      <c r="A258" s="4"/>
      <c r="C258" s="3"/>
    </row>
    <row r="259" customFormat="false" ht="15.75" hidden="false" customHeight="false" outlineLevel="0" collapsed="false">
      <c r="A259" s="4"/>
      <c r="B259" s="3"/>
      <c r="C259" s="3"/>
    </row>
    <row r="260" customFormat="false" ht="15.75" hidden="false" customHeight="false" outlineLevel="0" collapsed="false">
      <c r="A260" s="4"/>
      <c r="B260" s="3"/>
      <c r="C260" s="3"/>
    </row>
    <row r="261" customFormat="false" ht="15.75" hidden="false" customHeight="false" outlineLevel="0" collapsed="false">
      <c r="A261" s="4"/>
      <c r="B261" s="3"/>
      <c r="C261" s="3"/>
    </row>
    <row r="262" customFormat="false" ht="15.75" hidden="false" customHeight="false" outlineLevel="0" collapsed="false">
      <c r="A262" s="4"/>
      <c r="B262" s="3"/>
      <c r="C262" s="3"/>
    </row>
    <row r="263" customFormat="false" ht="15.75" hidden="false" customHeight="false" outlineLevel="0" collapsed="false">
      <c r="A263" s="4"/>
      <c r="B263" s="3"/>
      <c r="C263" s="3"/>
    </row>
    <row r="264" customFormat="false" ht="15.75" hidden="false" customHeight="false" outlineLevel="0" collapsed="false">
      <c r="A264" s="4"/>
      <c r="B264" s="3"/>
      <c r="C264" s="3"/>
    </row>
    <row r="265" customFormat="false" ht="15.75" hidden="false" customHeight="false" outlineLevel="0" collapsed="false">
      <c r="A265" s="4"/>
      <c r="B265" s="3"/>
      <c r="C265" s="3"/>
    </row>
    <row r="266" customFormat="false" ht="15.75" hidden="false" customHeight="false" outlineLevel="0" collapsed="false">
      <c r="A266" s="4"/>
      <c r="B266" s="3"/>
      <c r="C266" s="3"/>
    </row>
    <row r="267" customFormat="false" ht="15.75" hidden="false" customHeight="false" outlineLevel="0" collapsed="false">
      <c r="A267" s="4"/>
      <c r="B267" s="3"/>
      <c r="C267" s="3"/>
    </row>
    <row r="268" customFormat="false" ht="15.75" hidden="false" customHeight="false" outlineLevel="0" collapsed="false">
      <c r="A268" s="4"/>
      <c r="B268" s="3"/>
      <c r="C268" s="3"/>
    </row>
    <row r="269" customFormat="false" ht="15.75" hidden="false" customHeight="false" outlineLevel="0" collapsed="false">
      <c r="A269" s="10"/>
      <c r="C269" s="10"/>
    </row>
    <row r="270" customFormat="false" ht="15.75" hidden="false" customHeight="false" outlineLevel="0" collapsed="false">
      <c r="A270" s="4"/>
      <c r="B270" s="3"/>
      <c r="C270" s="3"/>
    </row>
    <row r="271" customFormat="false" ht="15.75" hidden="false" customHeight="false" outlineLevel="0" collapsed="false">
      <c r="A271" s="4"/>
      <c r="B271" s="3"/>
      <c r="C271" s="3"/>
    </row>
    <row r="272" customFormat="false" ht="15.75" hidden="false" customHeight="false" outlineLevel="0" collapsed="false">
      <c r="A272" s="4"/>
      <c r="B272" s="3"/>
      <c r="C272" s="3"/>
    </row>
    <row r="273" customFormat="false" ht="15.75" hidden="false" customHeight="false" outlineLevel="0" collapsed="false">
      <c r="A273" s="4"/>
      <c r="B273" s="3"/>
      <c r="C273" s="3"/>
    </row>
    <row r="274" customFormat="false" ht="15.75" hidden="false" customHeight="false" outlineLevel="0" collapsed="false">
      <c r="A274" s="4"/>
      <c r="B274" s="3"/>
      <c r="C274" s="3"/>
    </row>
    <row r="275" customFormat="false" ht="15.75" hidden="false" customHeight="false" outlineLevel="0" collapsed="false">
      <c r="A275" s="4"/>
      <c r="B275" s="3"/>
      <c r="C275" s="3"/>
    </row>
    <row r="276" customFormat="false" ht="15.75" hidden="false" customHeight="false" outlineLevel="0" collapsed="false">
      <c r="A276" s="4"/>
      <c r="B276" s="3"/>
    </row>
    <row r="277" customFormat="false" ht="15.75" hidden="false" customHeight="false" outlineLevel="0" collapsed="false">
      <c r="A277" s="4"/>
      <c r="B277" s="3"/>
      <c r="C277" s="3"/>
    </row>
    <row r="278" customFormat="false" ht="15.75" hidden="false" customHeight="false" outlineLevel="0" collapsed="false">
      <c r="A278" s="4"/>
      <c r="B278" s="3"/>
      <c r="C278" s="3"/>
    </row>
    <row r="279" customFormat="false" ht="15.75" hidden="false" customHeight="false" outlineLevel="0" collapsed="false">
      <c r="A279" s="4"/>
      <c r="B279" s="3"/>
      <c r="C279" s="3"/>
    </row>
    <row r="280" customFormat="false" ht="15.75" hidden="false" customHeight="false" outlineLevel="0" collapsed="false">
      <c r="A280" s="4"/>
      <c r="B280" s="3"/>
      <c r="C280" s="3"/>
    </row>
    <row r="281" customFormat="false" ht="15.75" hidden="false" customHeight="false" outlineLevel="0" collapsed="false">
      <c r="A281" s="4"/>
      <c r="B281" s="3"/>
      <c r="C281" s="3"/>
    </row>
    <row r="282" customFormat="false" ht="15.75" hidden="false" customHeight="false" outlineLevel="0" collapsed="false">
      <c r="A282" s="4"/>
      <c r="B282" s="3"/>
      <c r="C282" s="3"/>
    </row>
    <row r="283" customFormat="false" ht="15.75" hidden="false" customHeight="false" outlineLevel="0" collapsed="false">
      <c r="A283" s="4"/>
      <c r="B283" s="3"/>
      <c r="C283" s="3"/>
    </row>
    <row r="284" customFormat="false" ht="15.75" hidden="false" customHeight="false" outlineLevel="0" collapsed="false">
      <c r="A284" s="4"/>
      <c r="B284" s="3"/>
      <c r="C284" s="3"/>
    </row>
    <row r="285" customFormat="false" ht="15.75" hidden="false" customHeight="false" outlineLevel="0" collapsed="false">
      <c r="A285" s="4"/>
      <c r="B285" s="3"/>
      <c r="C285" s="3"/>
    </row>
    <row r="286" customFormat="false" ht="15.75" hidden="false" customHeight="false" outlineLevel="0" collapsed="false">
      <c r="A286" s="4"/>
      <c r="B286" s="3"/>
      <c r="C286" s="3"/>
    </row>
    <row r="287" customFormat="false" ht="15.75" hidden="false" customHeight="false" outlineLevel="0" collapsed="false">
      <c r="A287" s="4"/>
      <c r="B287" s="3"/>
      <c r="C287" s="3"/>
    </row>
    <row r="288" customFormat="false" ht="15.75" hidden="false" customHeight="false" outlineLevel="0" collapsed="false">
      <c r="A288" s="4"/>
      <c r="B288" s="3"/>
      <c r="C288" s="3"/>
    </row>
    <row r="289" customFormat="false" ht="15.75" hidden="false" customHeight="false" outlineLevel="0" collapsed="false">
      <c r="A289" s="4"/>
      <c r="B289" s="3"/>
      <c r="C289" s="3"/>
    </row>
    <row r="290" customFormat="false" ht="15.75" hidden="false" customHeight="false" outlineLevel="0" collapsed="false">
      <c r="A290" s="4"/>
      <c r="B290" s="3"/>
      <c r="C290" s="3"/>
    </row>
    <row r="291" customFormat="false" ht="15.75" hidden="false" customHeight="false" outlineLevel="0" collapsed="false">
      <c r="A291" s="4"/>
      <c r="B291" s="3"/>
      <c r="C291" s="3"/>
    </row>
    <row r="292" customFormat="false" ht="15.75" hidden="false" customHeight="false" outlineLevel="0" collapsed="false">
      <c r="A292" s="4"/>
      <c r="B292" s="3"/>
    </row>
    <row r="293" customFormat="false" ht="15.75" hidden="false" customHeight="false" outlineLevel="0" collapsed="false">
      <c r="A293" s="4"/>
      <c r="B293" s="3"/>
      <c r="C293" s="3"/>
    </row>
    <row r="294" customFormat="false" ht="15.75" hidden="false" customHeight="false" outlineLevel="0" collapsed="false">
      <c r="A294" s="4"/>
      <c r="B294" s="3"/>
    </row>
    <row r="295" customFormat="false" ht="15.75" hidden="false" customHeight="false" outlineLevel="0" collapsed="false">
      <c r="A295" s="4"/>
      <c r="B295" s="3"/>
    </row>
    <row r="296" customFormat="false" ht="15.75" hidden="false" customHeight="false" outlineLevel="0" collapsed="false">
      <c r="A296" s="4"/>
      <c r="B296" s="3"/>
      <c r="C296" s="3"/>
    </row>
    <row r="297" customFormat="false" ht="15.75" hidden="false" customHeight="false" outlineLevel="0" collapsed="false">
      <c r="A297" s="4"/>
      <c r="B297" s="3"/>
      <c r="C297" s="3"/>
    </row>
    <row r="298" customFormat="false" ht="15.75" hidden="false" customHeight="false" outlineLevel="0" collapsed="false">
      <c r="A298" s="4"/>
      <c r="B298" s="3"/>
      <c r="C298" s="3"/>
    </row>
    <row r="299" customFormat="false" ht="15.75" hidden="false" customHeight="false" outlineLevel="0" collapsed="false">
      <c r="A299" s="4"/>
      <c r="B299" s="3"/>
    </row>
    <row r="300" customFormat="false" ht="15.75" hidden="false" customHeight="false" outlineLevel="0" collapsed="false">
      <c r="A300" s="4"/>
      <c r="B300" s="3"/>
      <c r="C300" s="3"/>
    </row>
    <row r="301" customFormat="false" ht="15.75" hidden="false" customHeight="false" outlineLevel="0" collapsed="false">
      <c r="A301" s="4"/>
      <c r="B301" s="3"/>
    </row>
    <row r="302" customFormat="false" ht="15.75" hidden="false" customHeight="false" outlineLevel="0" collapsed="false">
      <c r="A302" s="4"/>
      <c r="B302" s="3"/>
      <c r="C302" s="3"/>
    </row>
    <row r="303" customFormat="false" ht="15.75" hidden="false" customHeight="false" outlineLevel="0" collapsed="false">
      <c r="A303" s="4"/>
      <c r="B303" s="3"/>
      <c r="C303" s="3"/>
    </row>
    <row r="304" customFormat="false" ht="15.75" hidden="false" customHeight="false" outlineLevel="0" collapsed="false">
      <c r="A304" s="4"/>
      <c r="B304" s="3"/>
      <c r="C304" s="3"/>
    </row>
    <row r="305" customFormat="false" ht="15.75" hidden="false" customHeight="false" outlineLevel="0" collapsed="false">
      <c r="A305" s="4"/>
      <c r="B305" s="3"/>
    </row>
    <row r="306" customFormat="false" ht="15.75" hidden="false" customHeight="false" outlineLevel="0" collapsed="false">
      <c r="A306" s="4"/>
      <c r="B306" s="3"/>
    </row>
    <row r="307" customFormat="false" ht="15.75" hidden="false" customHeight="false" outlineLevel="0" collapsed="false">
      <c r="A307" s="4"/>
      <c r="B307" s="3"/>
    </row>
    <row r="308" customFormat="false" ht="15.75" hidden="false" customHeight="false" outlineLevel="0" collapsed="false">
      <c r="A308" s="4"/>
      <c r="B308" s="3"/>
      <c r="C308" s="3"/>
    </row>
    <row r="309" customFormat="false" ht="15.75" hidden="false" customHeight="false" outlineLevel="0" collapsed="false">
      <c r="A309" s="4"/>
      <c r="B309" s="3"/>
    </row>
    <row r="310" customFormat="false" ht="15.75" hidden="false" customHeight="false" outlineLevel="0" collapsed="false">
      <c r="A310" s="4"/>
      <c r="B310" s="3"/>
      <c r="C310" s="3"/>
    </row>
    <row r="311" customFormat="false" ht="15.75" hidden="false" customHeight="false" outlineLevel="0" collapsed="false">
      <c r="A311" s="4"/>
      <c r="B311" s="3"/>
      <c r="C311" s="3"/>
    </row>
    <row r="312" customFormat="false" ht="15.75" hidden="false" customHeight="false" outlineLevel="0" collapsed="false">
      <c r="A312" s="4"/>
      <c r="B312" s="3"/>
      <c r="C312" s="3"/>
    </row>
    <row r="313" customFormat="false" ht="15.75" hidden="false" customHeight="false" outlineLevel="0" collapsed="false">
      <c r="A313" s="4"/>
      <c r="B313" s="3"/>
      <c r="C313" s="3"/>
    </row>
    <row r="314" customFormat="false" ht="15.75" hidden="false" customHeight="false" outlineLevel="0" collapsed="false">
      <c r="A314" s="4"/>
      <c r="B314" s="3"/>
      <c r="C314" s="3"/>
    </row>
    <row r="315" customFormat="false" ht="15.75" hidden="false" customHeight="false" outlineLevel="0" collapsed="false">
      <c r="A315" s="4"/>
      <c r="B315" s="3"/>
      <c r="C315" s="3"/>
    </row>
    <row r="316" customFormat="false" ht="15.75" hidden="false" customHeight="false" outlineLevel="0" collapsed="false">
      <c r="A316" s="4"/>
      <c r="B316" s="3"/>
      <c r="C316" s="3"/>
    </row>
    <row r="317" customFormat="false" ht="15.75" hidden="false" customHeight="false" outlineLevel="0" collapsed="false">
      <c r="A317" s="4"/>
      <c r="B317" s="3"/>
      <c r="C317" s="3"/>
    </row>
    <row r="318" customFormat="false" ht="15.75" hidden="false" customHeight="false" outlineLevel="0" collapsed="false">
      <c r="A318" s="4"/>
      <c r="B318" s="3"/>
      <c r="C318" s="3"/>
    </row>
    <row r="319" customFormat="false" ht="15.75" hidden="false" customHeight="false" outlineLevel="0" collapsed="false">
      <c r="A319" s="4"/>
      <c r="B319" s="3"/>
      <c r="C319" s="3"/>
    </row>
    <row r="320" customFormat="false" ht="15.75" hidden="false" customHeight="false" outlineLevel="0" collapsed="false">
      <c r="A320" s="4"/>
      <c r="B320" s="3"/>
      <c r="C320" s="3"/>
    </row>
    <row r="321" customFormat="false" ht="15.75" hidden="false" customHeight="false" outlineLevel="0" collapsed="false">
      <c r="A321" s="4"/>
      <c r="B321" s="3"/>
      <c r="C321" s="3"/>
    </row>
    <row r="322" customFormat="false" ht="15.75" hidden="false" customHeight="false" outlineLevel="0" collapsed="false">
      <c r="A322" s="4"/>
      <c r="B322" s="3"/>
      <c r="C322" s="3"/>
    </row>
    <row r="323" customFormat="false" ht="15.75" hidden="false" customHeight="false" outlineLevel="0" collapsed="false">
      <c r="A323" s="4"/>
      <c r="B323" s="3"/>
      <c r="C323" s="3"/>
    </row>
    <row r="324" customFormat="false" ht="15.75" hidden="false" customHeight="false" outlineLevel="0" collapsed="false">
      <c r="A324" s="4"/>
      <c r="B324" s="3"/>
      <c r="C324" s="3"/>
    </row>
    <row r="325" customFormat="false" ht="15.75" hidden="false" customHeight="false" outlineLevel="0" collapsed="false">
      <c r="A325" s="4"/>
      <c r="B325" s="3"/>
      <c r="C325" s="3"/>
    </row>
    <row r="326" customFormat="false" ht="15.75" hidden="false" customHeight="false" outlineLevel="0" collapsed="false">
      <c r="A326" s="4"/>
      <c r="B326" s="3"/>
      <c r="C326" s="3"/>
    </row>
    <row r="327" customFormat="false" ht="15.75" hidden="false" customHeight="false" outlineLevel="0" collapsed="false">
      <c r="A327" s="4"/>
      <c r="B327" s="3"/>
      <c r="C327" s="3"/>
    </row>
    <row r="328" customFormat="false" ht="15.75" hidden="false" customHeight="false" outlineLevel="0" collapsed="false">
      <c r="A328" s="4"/>
      <c r="B328" s="3"/>
      <c r="C328" s="3"/>
    </row>
    <row r="329" customFormat="false" ht="15.75" hidden="false" customHeight="false" outlineLevel="0" collapsed="false">
      <c r="A329" s="4"/>
      <c r="B329" s="3"/>
      <c r="C329" s="3"/>
    </row>
    <row r="330" customFormat="false" ht="15.75" hidden="false" customHeight="false" outlineLevel="0" collapsed="false">
      <c r="A330" s="4"/>
      <c r="B330" s="3"/>
      <c r="C330" s="3"/>
    </row>
    <row r="331" customFormat="false" ht="15.75" hidden="false" customHeight="false" outlineLevel="0" collapsed="false">
      <c r="A331" s="4"/>
      <c r="B331" s="3"/>
      <c r="C331" s="3"/>
    </row>
    <row r="332" customFormat="false" ht="15.75" hidden="false" customHeight="false" outlineLevel="0" collapsed="false">
      <c r="A332" s="4"/>
      <c r="B332" s="3"/>
      <c r="C332" s="3"/>
    </row>
    <row r="333" customFormat="false" ht="15.75" hidden="false" customHeight="false" outlineLevel="0" collapsed="false">
      <c r="A333" s="4"/>
      <c r="B333" s="3"/>
      <c r="C333" s="3"/>
    </row>
    <row r="334" customFormat="false" ht="15.75" hidden="false" customHeight="false" outlineLevel="0" collapsed="false">
      <c r="A334" s="4"/>
      <c r="B334" s="3"/>
      <c r="C334" s="3"/>
    </row>
    <row r="335" customFormat="false" ht="15.75" hidden="false" customHeight="false" outlineLevel="0" collapsed="false">
      <c r="A335" s="4"/>
      <c r="B335" s="3"/>
      <c r="C335" s="3"/>
    </row>
    <row r="336" customFormat="false" ht="15.75" hidden="false" customHeight="false" outlineLevel="0" collapsed="false">
      <c r="A336" s="4"/>
      <c r="B336" s="3"/>
      <c r="C336" s="3"/>
    </row>
    <row r="337" customFormat="false" ht="15.75" hidden="false" customHeight="false" outlineLevel="0" collapsed="false">
      <c r="A337" s="4"/>
      <c r="B337" s="3"/>
      <c r="C337" s="3"/>
    </row>
    <row r="338" customFormat="false" ht="15.75" hidden="false" customHeight="false" outlineLevel="0" collapsed="false">
      <c r="A338" s="4"/>
      <c r="B338" s="3"/>
      <c r="C338" s="3"/>
    </row>
    <row r="339" customFormat="false" ht="15.75" hidden="false" customHeight="false" outlineLevel="0" collapsed="false">
      <c r="A339" s="4"/>
      <c r="B339" s="3"/>
      <c r="C339" s="3"/>
    </row>
    <row r="340" customFormat="false" ht="15.75" hidden="false" customHeight="false" outlineLevel="0" collapsed="false">
      <c r="A340" s="4"/>
      <c r="B340" s="3"/>
      <c r="C340" s="3"/>
    </row>
    <row r="341" customFormat="false" ht="15.75" hidden="false" customHeight="false" outlineLevel="0" collapsed="false">
      <c r="A341" s="4"/>
      <c r="B341" s="3"/>
      <c r="C341" s="3"/>
    </row>
    <row r="342" customFormat="false" ht="15.75" hidden="false" customHeight="false" outlineLevel="0" collapsed="false">
      <c r="A342" s="4"/>
      <c r="B342" s="3"/>
      <c r="C342" s="3"/>
    </row>
    <row r="343" customFormat="false" ht="15.75" hidden="false" customHeight="false" outlineLevel="0" collapsed="false">
      <c r="A343" s="4"/>
      <c r="B343" s="3"/>
      <c r="C343" s="3"/>
    </row>
    <row r="344" customFormat="false" ht="15.75" hidden="false" customHeight="false" outlineLevel="0" collapsed="false">
      <c r="A344" s="4"/>
      <c r="B344" s="3"/>
      <c r="C344" s="3"/>
    </row>
    <row r="345" customFormat="false" ht="15.75" hidden="false" customHeight="false" outlineLevel="0" collapsed="false">
      <c r="A345" s="4"/>
      <c r="B345" s="3"/>
      <c r="C345" s="3"/>
    </row>
    <row r="346" customFormat="false" ht="15.75" hidden="false" customHeight="false" outlineLevel="0" collapsed="false">
      <c r="A346" s="4"/>
      <c r="B346" s="3"/>
      <c r="C346" s="3"/>
    </row>
    <row r="347" customFormat="false" ht="15.75" hidden="false" customHeight="false" outlineLevel="0" collapsed="false">
      <c r="A347" s="4"/>
      <c r="B347" s="3"/>
      <c r="C347" s="3"/>
    </row>
    <row r="348" customFormat="false" ht="15.75" hidden="false" customHeight="false" outlineLevel="0" collapsed="false">
      <c r="A348" s="4"/>
      <c r="B348" s="3"/>
      <c r="C348" s="3"/>
    </row>
    <row r="349" customFormat="false" ht="15.75" hidden="false" customHeight="false" outlineLevel="0" collapsed="false">
      <c r="A349" s="4"/>
      <c r="B349" s="3"/>
      <c r="C349" s="3"/>
    </row>
    <row r="350" customFormat="false" ht="15.75" hidden="false" customHeight="false" outlineLevel="0" collapsed="false">
      <c r="A350" s="4"/>
      <c r="B350" s="3"/>
      <c r="C350" s="3"/>
    </row>
    <row r="351" customFormat="false" ht="15.75" hidden="false" customHeight="false" outlineLevel="0" collapsed="false">
      <c r="A351" s="4"/>
      <c r="B351" s="3"/>
      <c r="C351" s="3"/>
    </row>
    <row r="352" customFormat="false" ht="15.75" hidden="false" customHeight="false" outlineLevel="0" collapsed="false">
      <c r="A352" s="4"/>
      <c r="B352" s="3"/>
      <c r="C352" s="3"/>
    </row>
    <row r="353" customFormat="false" ht="15.75" hidden="false" customHeight="false" outlineLevel="0" collapsed="false">
      <c r="A353" s="4"/>
      <c r="B353" s="3"/>
      <c r="C353" s="3"/>
    </row>
    <row r="354" customFormat="false" ht="15.75" hidden="false" customHeight="false" outlineLevel="0" collapsed="false">
      <c r="A354" s="4"/>
      <c r="B354" s="3"/>
      <c r="C354" s="3"/>
    </row>
    <row r="355" customFormat="false" ht="15.75" hidden="false" customHeight="false" outlineLevel="0" collapsed="false">
      <c r="A355" s="4"/>
      <c r="B355" s="3"/>
      <c r="C355" s="3"/>
    </row>
    <row r="356" customFormat="false" ht="15.75" hidden="false" customHeight="false" outlineLevel="0" collapsed="false">
      <c r="A356" s="4"/>
      <c r="B356" s="3"/>
      <c r="C356" s="3"/>
    </row>
    <row r="357" customFormat="false" ht="15.75" hidden="false" customHeight="false" outlineLevel="0" collapsed="false">
      <c r="A357" s="4"/>
      <c r="B357" s="3"/>
      <c r="C357" s="3"/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4"/>
      <c r="B362" s="3"/>
      <c r="C362" s="3"/>
    </row>
    <row r="363" customFormat="false" ht="15.75" hidden="false" customHeight="false" outlineLevel="0" collapsed="false">
      <c r="A363" s="4"/>
      <c r="B363" s="3"/>
      <c r="C363" s="3"/>
    </row>
    <row r="364" customFormat="false" ht="15.75" hidden="false" customHeight="false" outlineLevel="0" collapsed="false">
      <c r="A364" s="4"/>
      <c r="B364" s="3"/>
      <c r="C364" s="3"/>
    </row>
    <row r="365" customFormat="false" ht="15.75" hidden="false" customHeight="false" outlineLevel="0" collapsed="false">
      <c r="A365" s="4"/>
      <c r="B365" s="3"/>
      <c r="C365" s="3"/>
    </row>
    <row r="366" customFormat="false" ht="15.75" hidden="false" customHeight="false" outlineLevel="0" collapsed="false">
      <c r="A366" s="4"/>
      <c r="B366" s="3"/>
      <c r="C366" s="3"/>
    </row>
    <row r="367" customFormat="false" ht="15.75" hidden="false" customHeight="false" outlineLevel="0" collapsed="false">
      <c r="A367" s="4"/>
      <c r="B367" s="3"/>
      <c r="C367" s="3"/>
    </row>
    <row r="368" customFormat="false" ht="15.75" hidden="false" customHeight="false" outlineLevel="0" collapsed="false">
      <c r="A368" s="4"/>
      <c r="B368" s="3"/>
      <c r="C368" s="3"/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4"/>
      <c r="B372" s="3"/>
      <c r="C372" s="3"/>
    </row>
    <row r="373" customFormat="false" ht="15.75" hidden="false" customHeight="false" outlineLevel="0" collapsed="false">
      <c r="A373" s="4"/>
      <c r="B373" s="3"/>
      <c r="C373" s="3"/>
    </row>
    <row r="374" customFormat="false" ht="15.75" hidden="false" customHeight="false" outlineLevel="0" collapsed="false">
      <c r="A374" s="4"/>
      <c r="B374" s="3"/>
      <c r="C374" s="3"/>
    </row>
    <row r="375" customFormat="false" ht="15.75" hidden="false" customHeight="false" outlineLevel="0" collapsed="false">
      <c r="A375" s="4"/>
      <c r="B375" s="3"/>
      <c r="C375" s="3"/>
    </row>
    <row r="376" customFormat="false" ht="15.75" hidden="false" customHeight="false" outlineLevel="0" collapsed="false">
      <c r="A376" s="4"/>
      <c r="B376" s="3"/>
      <c r="C376" s="3"/>
    </row>
    <row r="377" customFormat="false" ht="15.75" hidden="false" customHeight="false" outlineLevel="0" collapsed="false">
      <c r="A377" s="4"/>
      <c r="B377" s="3"/>
      <c r="C377" s="3"/>
    </row>
    <row r="378" customFormat="false" ht="15.75" hidden="false" customHeight="false" outlineLevel="0" collapsed="false">
      <c r="A378" s="4"/>
      <c r="B378" s="3"/>
      <c r="C378" s="3"/>
    </row>
    <row r="379" customFormat="false" ht="15.75" hidden="false" customHeight="false" outlineLevel="0" collapsed="false">
      <c r="A379" s="4"/>
      <c r="B379" s="3"/>
      <c r="C379" s="3"/>
    </row>
    <row r="380" customFormat="false" ht="15.75" hidden="false" customHeight="false" outlineLevel="0" collapsed="false">
      <c r="A380" s="4"/>
      <c r="B380" s="3"/>
      <c r="C380" s="3"/>
    </row>
    <row r="381" customFormat="false" ht="15.75" hidden="false" customHeight="false" outlineLevel="0" collapsed="false">
      <c r="A381" s="4"/>
      <c r="B381" s="3"/>
      <c r="C381" s="3"/>
    </row>
    <row r="382" customFormat="false" ht="15.75" hidden="false" customHeight="false" outlineLevel="0" collapsed="false">
      <c r="A382" s="4"/>
      <c r="B382" s="3"/>
      <c r="C382" s="3"/>
    </row>
    <row r="383" customFormat="false" ht="15.75" hidden="false" customHeight="false" outlineLevel="0" collapsed="false">
      <c r="A383" s="4"/>
      <c r="B383" s="3"/>
      <c r="C383" s="3"/>
    </row>
    <row r="384" customFormat="false" ht="15.75" hidden="false" customHeight="false" outlineLevel="0" collapsed="false">
      <c r="A384" s="4"/>
      <c r="B384" s="3"/>
      <c r="C384" s="3"/>
    </row>
    <row r="385" customFormat="false" ht="15.75" hidden="false" customHeight="false" outlineLevel="0" collapsed="false">
      <c r="A385" s="4"/>
      <c r="B385" s="3"/>
      <c r="C385" s="3"/>
    </row>
    <row r="386" customFormat="false" ht="15.75" hidden="false" customHeight="false" outlineLevel="0" collapsed="false">
      <c r="A386" s="4"/>
      <c r="B386" s="3"/>
      <c r="C386" s="3"/>
    </row>
    <row r="387" customFormat="false" ht="15.75" hidden="false" customHeight="false" outlineLevel="0" collapsed="false">
      <c r="A387" s="4"/>
      <c r="B387" s="3"/>
      <c r="C387" s="3"/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</row>
    <row r="395" customFormat="false" ht="15.75" hidden="false" customHeight="false" outlineLevel="0" collapsed="false">
      <c r="A395" s="4"/>
      <c r="B395" s="3"/>
      <c r="C395" s="3"/>
    </row>
    <row r="396" customFormat="false" ht="15.75" hidden="false" customHeight="false" outlineLevel="0" collapsed="false">
      <c r="A396" s="4"/>
      <c r="B396" s="3"/>
      <c r="C396" s="3"/>
    </row>
    <row r="397" customFormat="false" ht="15.75" hidden="false" customHeight="false" outlineLevel="0" collapsed="false">
      <c r="A397" s="4"/>
      <c r="B397" s="3"/>
      <c r="C397" s="3"/>
    </row>
    <row r="398" customFormat="false" ht="15.75" hidden="false" customHeight="false" outlineLevel="0" collapsed="false">
      <c r="A398" s="4"/>
      <c r="B398" s="3"/>
      <c r="C398" s="3"/>
    </row>
    <row r="399" customFormat="false" ht="15.75" hidden="false" customHeight="false" outlineLevel="0" collapsed="false">
      <c r="A399" s="4"/>
      <c r="B399" s="3"/>
      <c r="C399" s="3"/>
    </row>
    <row r="400" customFormat="false" ht="15.75" hidden="false" customHeight="false" outlineLevel="0" collapsed="false">
      <c r="A400" s="4"/>
      <c r="B400" s="3"/>
      <c r="C400" s="3"/>
    </row>
    <row r="401" customFormat="false" ht="15.75" hidden="false" customHeight="false" outlineLevel="0" collapsed="false">
      <c r="A401" s="4"/>
      <c r="B401" s="3"/>
      <c r="C401" s="3"/>
    </row>
    <row r="402" customFormat="false" ht="15.75" hidden="false" customHeight="false" outlineLevel="0" collapsed="false">
      <c r="A402" s="4"/>
      <c r="B402" s="3"/>
      <c r="C402" s="3"/>
    </row>
    <row r="403" customFormat="false" ht="15.75" hidden="false" customHeight="false" outlineLevel="0" collapsed="false">
      <c r="A403" s="4"/>
      <c r="B403" s="3"/>
      <c r="C403" s="3"/>
    </row>
    <row r="404" customFormat="false" ht="15.75" hidden="false" customHeight="false" outlineLevel="0" collapsed="false">
      <c r="A404" s="4"/>
      <c r="B404" s="3"/>
      <c r="C404" s="3"/>
    </row>
    <row r="405" customFormat="false" ht="15.75" hidden="false" customHeight="false" outlineLevel="0" collapsed="false">
      <c r="A405" s="4"/>
      <c r="B405" s="3"/>
      <c r="C405" s="3"/>
    </row>
    <row r="406" customFormat="false" ht="15.75" hidden="false" customHeight="false" outlineLevel="0" collapsed="false">
      <c r="A406" s="4"/>
      <c r="B406" s="3"/>
      <c r="C406" s="3"/>
    </row>
    <row r="407" customFormat="false" ht="15.75" hidden="false" customHeight="false" outlineLevel="0" collapsed="false">
      <c r="A407" s="4"/>
      <c r="B407" s="3"/>
      <c r="C407" s="3"/>
    </row>
    <row r="408" customFormat="false" ht="15.75" hidden="false" customHeight="false" outlineLevel="0" collapsed="false">
      <c r="A408" s="4"/>
      <c r="B408" s="3"/>
      <c r="C408" s="3"/>
    </row>
    <row r="409" customFormat="false" ht="15.75" hidden="false" customHeight="false" outlineLevel="0" collapsed="false">
      <c r="A409" s="4"/>
      <c r="B409" s="3"/>
      <c r="C409" s="3"/>
    </row>
    <row r="410" customFormat="false" ht="15.75" hidden="false" customHeight="false" outlineLevel="0" collapsed="false">
      <c r="A410" s="4"/>
      <c r="B410" s="3"/>
      <c r="C410" s="3"/>
    </row>
    <row r="411" customFormat="false" ht="15.75" hidden="false" customHeight="false" outlineLevel="0" collapsed="false">
      <c r="A411" s="4"/>
      <c r="B411" s="3"/>
      <c r="C411" s="3"/>
    </row>
    <row r="412" customFormat="false" ht="15.75" hidden="false" customHeight="false" outlineLevel="0" collapsed="false">
      <c r="A412" s="4"/>
      <c r="B412" s="3"/>
      <c r="C412" s="3"/>
    </row>
    <row r="413" customFormat="false" ht="15.75" hidden="false" customHeight="false" outlineLevel="0" collapsed="false">
      <c r="A413" s="4"/>
      <c r="B413" s="3"/>
      <c r="C413" s="3"/>
    </row>
    <row r="414" customFormat="false" ht="15.75" hidden="false" customHeight="false" outlineLevel="0" collapsed="false">
      <c r="A414" s="4"/>
      <c r="B414" s="3"/>
      <c r="C414" s="3"/>
    </row>
    <row r="415" customFormat="false" ht="15.75" hidden="false" customHeight="false" outlineLevel="0" collapsed="false">
      <c r="A415" s="4"/>
      <c r="B415" s="3"/>
      <c r="C415" s="3"/>
    </row>
    <row r="416" customFormat="false" ht="15.75" hidden="false" customHeight="false" outlineLevel="0" collapsed="false">
      <c r="A416" s="4"/>
      <c r="B416" s="3"/>
      <c r="C416" s="3"/>
    </row>
    <row r="417" customFormat="false" ht="15.75" hidden="false" customHeight="false" outlineLevel="0" collapsed="false">
      <c r="A417" s="4"/>
      <c r="B417" s="3"/>
      <c r="C417" s="3"/>
    </row>
    <row r="418" customFormat="false" ht="15.75" hidden="false" customHeight="false" outlineLevel="0" collapsed="false">
      <c r="A418" s="4"/>
      <c r="B418" s="3"/>
      <c r="C418" s="3"/>
    </row>
    <row r="419" customFormat="false" ht="15.75" hidden="false" customHeight="false" outlineLevel="0" collapsed="false">
      <c r="A419" s="4"/>
      <c r="B419" s="3"/>
      <c r="C419" s="3"/>
    </row>
    <row r="420" customFormat="false" ht="15.75" hidden="false" customHeight="false" outlineLevel="0" collapsed="false">
      <c r="A420" s="4"/>
      <c r="B420" s="3"/>
      <c r="C420" s="3"/>
    </row>
    <row r="421" customFormat="false" ht="15.75" hidden="false" customHeight="false" outlineLevel="0" collapsed="false">
      <c r="A421" s="4"/>
      <c r="B421" s="3"/>
      <c r="C421" s="3"/>
    </row>
    <row r="422" customFormat="false" ht="15.75" hidden="false" customHeight="false" outlineLevel="0" collapsed="false">
      <c r="A422" s="4"/>
      <c r="B422" s="3"/>
      <c r="C422" s="3"/>
    </row>
    <row r="423" customFormat="false" ht="15.75" hidden="false" customHeight="false" outlineLevel="0" collapsed="false">
      <c r="A423" s="4"/>
      <c r="B423" s="3"/>
      <c r="C423" s="3"/>
    </row>
    <row r="424" customFormat="false" ht="15.75" hidden="false" customHeight="false" outlineLevel="0" collapsed="false">
      <c r="A424" s="4"/>
      <c r="B424" s="3"/>
      <c r="C424" s="3"/>
    </row>
    <row r="425" customFormat="false" ht="15.75" hidden="false" customHeight="false" outlineLevel="0" collapsed="false">
      <c r="A425" s="4"/>
      <c r="B425" s="3"/>
      <c r="C425" s="3"/>
    </row>
    <row r="426" customFormat="false" ht="15.75" hidden="false" customHeight="false" outlineLevel="0" collapsed="false">
      <c r="A426" s="4"/>
      <c r="B426" s="3"/>
      <c r="C426" s="3"/>
    </row>
    <row r="427" customFormat="false" ht="15.75" hidden="false" customHeight="false" outlineLevel="0" collapsed="false">
      <c r="A427" s="4"/>
      <c r="B427" s="3"/>
      <c r="C427" s="3"/>
    </row>
    <row r="428" customFormat="false" ht="15.75" hidden="false" customHeight="false" outlineLevel="0" collapsed="false">
      <c r="A428" s="4"/>
      <c r="B428" s="3"/>
      <c r="C428" s="3"/>
    </row>
    <row r="429" customFormat="false" ht="15.75" hidden="false" customHeight="false" outlineLevel="0" collapsed="false">
      <c r="A429" s="4"/>
      <c r="B429" s="3"/>
      <c r="C429" s="3"/>
    </row>
    <row r="430" customFormat="false" ht="15.75" hidden="false" customHeight="false" outlineLevel="0" collapsed="false">
      <c r="A430" s="4"/>
      <c r="B430" s="3"/>
      <c r="C430" s="3"/>
    </row>
    <row r="431" customFormat="false" ht="15.75" hidden="false" customHeight="false" outlineLevel="0" collapsed="false">
      <c r="A431" s="4"/>
      <c r="B431" s="3"/>
      <c r="C431" s="3"/>
    </row>
    <row r="432" customFormat="false" ht="15.75" hidden="false" customHeight="false" outlineLevel="0" collapsed="false">
      <c r="A432" s="4"/>
      <c r="B432" s="3"/>
      <c r="C432" s="3"/>
    </row>
    <row r="433" customFormat="false" ht="15.75" hidden="false" customHeight="false" outlineLevel="0" collapsed="false">
      <c r="A433" s="4"/>
      <c r="B433" s="3"/>
      <c r="C433" s="3"/>
    </row>
    <row r="434" customFormat="false" ht="15.75" hidden="false" customHeight="false" outlineLevel="0" collapsed="false">
      <c r="A434" s="4"/>
      <c r="B434" s="3"/>
      <c r="C434" s="3"/>
    </row>
    <row r="435" customFormat="false" ht="15.75" hidden="false" customHeight="false" outlineLevel="0" collapsed="false">
      <c r="A435" s="4"/>
      <c r="B435" s="3"/>
      <c r="C435" s="3"/>
    </row>
    <row r="436" customFormat="false" ht="15.75" hidden="false" customHeight="false" outlineLevel="0" collapsed="false">
      <c r="A436" s="4"/>
      <c r="B436" s="3"/>
      <c r="C436" s="3"/>
    </row>
    <row r="437" customFormat="false" ht="15.75" hidden="false" customHeight="false" outlineLevel="0" collapsed="false">
      <c r="A437" s="4"/>
      <c r="B437" s="3"/>
      <c r="C437" s="3"/>
    </row>
    <row r="438" customFormat="false" ht="15.75" hidden="false" customHeight="false" outlineLevel="0" collapsed="false">
      <c r="A438" s="4"/>
      <c r="B438" s="3"/>
      <c r="C438" s="3"/>
    </row>
    <row r="439" customFormat="false" ht="15.75" hidden="false" customHeight="false" outlineLevel="0" collapsed="false">
      <c r="A439" s="4"/>
      <c r="B439" s="3"/>
      <c r="C439" s="3"/>
    </row>
    <row r="440" customFormat="false" ht="15.75" hidden="false" customHeight="false" outlineLevel="0" collapsed="false">
      <c r="A440" s="4"/>
      <c r="B440" s="3"/>
      <c r="C440" s="3"/>
    </row>
    <row r="441" customFormat="false" ht="15.75" hidden="false" customHeight="false" outlineLevel="0" collapsed="false">
      <c r="A441" s="4"/>
      <c r="B441" s="3"/>
      <c r="C441" s="3"/>
    </row>
    <row r="442" customFormat="false" ht="15.75" hidden="false" customHeight="false" outlineLevel="0" collapsed="false">
      <c r="A442" s="4"/>
      <c r="B442" s="3"/>
      <c r="C442" s="3"/>
    </row>
    <row r="443" customFormat="false" ht="15.75" hidden="false" customHeight="false" outlineLevel="0" collapsed="false">
      <c r="A443" s="4"/>
      <c r="B443" s="3"/>
      <c r="C443" s="3"/>
    </row>
    <row r="444" customFormat="false" ht="15.75" hidden="false" customHeight="false" outlineLevel="0" collapsed="false">
      <c r="A444" s="4"/>
      <c r="B444" s="3"/>
      <c r="C444" s="3"/>
    </row>
    <row r="445" customFormat="false" ht="15.75" hidden="false" customHeight="false" outlineLevel="0" collapsed="false">
      <c r="A445" s="4"/>
      <c r="B445" s="3"/>
      <c r="C445" s="3"/>
    </row>
    <row r="446" customFormat="false" ht="15.75" hidden="false" customHeight="false" outlineLevel="0" collapsed="false">
      <c r="A446" s="4"/>
      <c r="B446" s="3"/>
      <c r="C446" s="3"/>
    </row>
    <row r="447" customFormat="false" ht="15.75" hidden="false" customHeight="false" outlineLevel="0" collapsed="false">
      <c r="A447" s="4"/>
      <c r="B447" s="3"/>
      <c r="C447" s="3"/>
    </row>
    <row r="448" customFormat="false" ht="15.75" hidden="false" customHeight="false" outlineLevel="0" collapsed="false">
      <c r="A448" s="4"/>
      <c r="B448" s="3"/>
      <c r="C448" s="3"/>
    </row>
    <row r="449" customFormat="false" ht="15.75" hidden="false" customHeight="false" outlineLevel="0" collapsed="false">
      <c r="A449" s="4"/>
      <c r="B449" s="3"/>
      <c r="C449" s="3"/>
    </row>
    <row r="450" customFormat="false" ht="15.75" hidden="false" customHeight="false" outlineLevel="0" collapsed="false">
      <c r="A450" s="4"/>
      <c r="B450" s="3"/>
      <c r="C450" s="3"/>
    </row>
    <row r="451" customFormat="false" ht="15.75" hidden="false" customHeight="false" outlineLevel="0" collapsed="false">
      <c r="A451" s="4"/>
      <c r="B451" s="3"/>
      <c r="C451" s="3"/>
    </row>
    <row r="452" customFormat="false" ht="15.75" hidden="false" customHeight="false" outlineLevel="0" collapsed="false">
      <c r="A452" s="4"/>
      <c r="B452" s="3"/>
      <c r="C452" s="3"/>
    </row>
    <row r="453" customFormat="false" ht="15.75" hidden="false" customHeight="false" outlineLevel="0" collapsed="false">
      <c r="A453" s="4"/>
      <c r="B453" s="3"/>
      <c r="C453" s="3"/>
    </row>
    <row r="454" customFormat="false" ht="15.75" hidden="false" customHeight="false" outlineLevel="0" collapsed="false">
      <c r="A454" s="4"/>
      <c r="B454" s="3"/>
      <c r="C454" s="3"/>
    </row>
    <row r="455" customFormat="false" ht="15.75" hidden="false" customHeight="false" outlineLevel="0" collapsed="false">
      <c r="A455" s="4"/>
      <c r="B455" s="3"/>
      <c r="C455" s="3"/>
    </row>
    <row r="456" customFormat="false" ht="15.75" hidden="false" customHeight="false" outlineLevel="0" collapsed="false">
      <c r="A456" s="4"/>
      <c r="B456" s="3"/>
      <c r="C456" s="3"/>
    </row>
    <row r="457" customFormat="false" ht="15.75" hidden="false" customHeight="false" outlineLevel="0" collapsed="false">
      <c r="A457" s="4"/>
      <c r="B457" s="3"/>
      <c r="C457" s="3"/>
    </row>
    <row r="458" customFormat="false" ht="15.75" hidden="false" customHeight="false" outlineLevel="0" collapsed="false">
      <c r="A458" s="4"/>
      <c r="B458" s="3"/>
      <c r="C458" s="3"/>
    </row>
    <row r="459" customFormat="false" ht="15.75" hidden="false" customHeight="false" outlineLevel="0" collapsed="false">
      <c r="A459" s="4"/>
      <c r="B459" s="3"/>
      <c r="C459" s="3"/>
    </row>
    <row r="460" customFormat="false" ht="15.75" hidden="false" customHeight="false" outlineLevel="0" collapsed="false">
      <c r="A460" s="4"/>
      <c r="B460" s="3"/>
      <c r="C460" s="3"/>
    </row>
    <row r="461" customFormat="false" ht="15.75" hidden="false" customHeight="false" outlineLevel="0" collapsed="false">
      <c r="A461" s="4"/>
      <c r="B461" s="3"/>
      <c r="C461" s="3"/>
    </row>
    <row r="462" customFormat="false" ht="15.75" hidden="false" customHeight="false" outlineLevel="0" collapsed="false">
      <c r="A462" s="4"/>
      <c r="B462" s="3"/>
      <c r="C462" s="3"/>
    </row>
    <row r="463" customFormat="false" ht="15.75" hidden="false" customHeight="false" outlineLevel="0" collapsed="false">
      <c r="A463" s="4"/>
      <c r="B463" s="3"/>
      <c r="C463" s="3"/>
    </row>
    <row r="464" customFormat="false" ht="15.75" hidden="false" customHeight="false" outlineLevel="0" collapsed="false">
      <c r="A464" s="4"/>
      <c r="B464" s="3"/>
      <c r="C464" s="3"/>
    </row>
    <row r="465" customFormat="false" ht="15.75" hidden="false" customHeight="false" outlineLevel="0" collapsed="false">
      <c r="A465" s="4"/>
      <c r="B465" s="3"/>
      <c r="C465" s="3"/>
    </row>
    <row r="466" customFormat="false" ht="15.75" hidden="false" customHeight="false" outlineLevel="0" collapsed="false">
      <c r="A466" s="4"/>
      <c r="B466" s="3"/>
      <c r="C466" s="3"/>
    </row>
    <row r="467" customFormat="false" ht="15.75" hidden="false" customHeight="false" outlineLevel="0" collapsed="false">
      <c r="A467" s="4"/>
      <c r="B467" s="3"/>
      <c r="C467" s="3"/>
    </row>
    <row r="468" customFormat="false" ht="15.75" hidden="false" customHeight="false" outlineLevel="0" collapsed="false">
      <c r="A468" s="4"/>
      <c r="B468" s="3"/>
      <c r="C468" s="3"/>
    </row>
    <row r="469" customFormat="false" ht="15.75" hidden="false" customHeight="false" outlineLevel="0" collapsed="false">
      <c r="A469" s="4"/>
      <c r="B469" s="3"/>
      <c r="C469" s="3"/>
    </row>
    <row r="470" customFormat="false" ht="15.75" hidden="false" customHeight="false" outlineLevel="0" collapsed="false">
      <c r="A470" s="4"/>
      <c r="B470" s="3"/>
      <c r="C470" s="3"/>
    </row>
    <row r="471" customFormat="false" ht="15.75" hidden="false" customHeight="false" outlineLevel="0" collapsed="false">
      <c r="A471" s="4"/>
      <c r="B471" s="3"/>
      <c r="C471" s="3"/>
    </row>
    <row r="472" customFormat="false" ht="15.75" hidden="false" customHeight="false" outlineLevel="0" collapsed="false">
      <c r="A472" s="4"/>
      <c r="B472" s="3"/>
      <c r="C472" s="3"/>
    </row>
    <row r="473" customFormat="false" ht="15.75" hidden="false" customHeight="false" outlineLevel="0" collapsed="false">
      <c r="A473" s="4"/>
      <c r="B473" s="3"/>
      <c r="C473" s="3"/>
    </row>
    <row r="474" customFormat="false" ht="15.75" hidden="false" customHeight="false" outlineLevel="0" collapsed="false">
      <c r="A474" s="4"/>
      <c r="B474" s="3"/>
      <c r="C474" s="3"/>
    </row>
    <row r="475" customFormat="false" ht="15.75" hidden="false" customHeight="false" outlineLevel="0" collapsed="false">
      <c r="A475" s="4"/>
      <c r="B475" s="3"/>
      <c r="C475" s="3"/>
    </row>
    <row r="476" customFormat="false" ht="15.75" hidden="false" customHeight="false" outlineLevel="0" collapsed="false">
      <c r="A476" s="4"/>
      <c r="B476" s="3"/>
      <c r="C476" s="3"/>
    </row>
    <row r="477" customFormat="false" ht="15.75" hidden="false" customHeight="false" outlineLevel="0" collapsed="false">
      <c r="A477" s="4"/>
      <c r="B477" s="3"/>
      <c r="C477" s="3"/>
    </row>
    <row r="478" customFormat="false" ht="15.75" hidden="false" customHeight="false" outlineLevel="0" collapsed="false">
      <c r="A478" s="4"/>
      <c r="B478" s="3"/>
      <c r="C478" s="3"/>
    </row>
    <row r="479" customFormat="false" ht="15.75" hidden="false" customHeight="false" outlineLevel="0" collapsed="false">
      <c r="A479" s="4"/>
      <c r="B479" s="3"/>
      <c r="C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  <c r="C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  <c r="C488" s="3"/>
    </row>
    <row r="489" customFormat="false" ht="15.75" hidden="false" customHeight="false" outlineLevel="0" collapsed="false">
      <c r="A489" s="4"/>
      <c r="B489" s="3"/>
      <c r="C489" s="3"/>
    </row>
    <row r="490" customFormat="false" ht="15.75" hidden="false" customHeight="false" outlineLevel="0" collapsed="false">
      <c r="A490" s="4"/>
      <c r="B490" s="3"/>
      <c r="C490" s="3"/>
    </row>
    <row r="491" customFormat="false" ht="15.75" hidden="false" customHeight="false" outlineLevel="0" collapsed="false">
      <c r="A491" s="4"/>
      <c r="B491" s="3"/>
      <c r="C491" s="3"/>
    </row>
    <row r="492" customFormat="false" ht="15.75" hidden="false" customHeight="false" outlineLevel="0" collapsed="false">
      <c r="A492" s="4"/>
      <c r="B492" s="3"/>
      <c r="C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  <c r="B495" s="3"/>
      <c r="C495" s="3"/>
    </row>
    <row r="496" customFormat="false" ht="15.75" hidden="false" customHeight="false" outlineLevel="0" collapsed="false">
      <c r="A496" s="4"/>
      <c r="B496" s="3"/>
      <c r="C496" s="3"/>
    </row>
    <row r="497" customFormat="false" ht="15.75" hidden="false" customHeight="false" outlineLevel="0" collapsed="false">
      <c r="A497" s="4"/>
      <c r="B497" s="3"/>
      <c r="C497" s="3"/>
    </row>
    <row r="498" customFormat="false" ht="15.75" hidden="false" customHeight="false" outlineLevel="0" collapsed="false">
      <c r="A498" s="4"/>
      <c r="B498" s="3"/>
      <c r="C498" s="3"/>
    </row>
    <row r="499" customFormat="false" ht="15.75" hidden="false" customHeight="false" outlineLevel="0" collapsed="false">
      <c r="A499" s="4"/>
      <c r="B499" s="3"/>
      <c r="C499" s="3"/>
    </row>
    <row r="500" customFormat="false" ht="15.75" hidden="false" customHeight="false" outlineLevel="0" collapsed="false">
      <c r="A500" s="4"/>
      <c r="B500" s="3"/>
      <c r="C500" s="3"/>
    </row>
    <row r="501" customFormat="false" ht="15.75" hidden="false" customHeight="false" outlineLevel="0" collapsed="false">
      <c r="A501" s="4"/>
      <c r="B501" s="3"/>
      <c r="C501" s="3"/>
    </row>
    <row r="502" customFormat="false" ht="15.75" hidden="false" customHeight="false" outlineLevel="0" collapsed="false">
      <c r="A502" s="4"/>
      <c r="B502" s="3"/>
      <c r="C502" s="3"/>
    </row>
    <row r="503" customFormat="false" ht="15.75" hidden="false" customHeight="false" outlineLevel="0" collapsed="false">
      <c r="A503" s="4"/>
      <c r="B503" s="3"/>
      <c r="C503" s="3"/>
    </row>
    <row r="504" customFormat="false" ht="15.75" hidden="false" customHeight="false" outlineLevel="0" collapsed="false">
      <c r="A504" s="4"/>
      <c r="B504" s="3"/>
      <c r="C504" s="3"/>
    </row>
    <row r="505" customFormat="false" ht="15.75" hidden="false" customHeight="false" outlineLevel="0" collapsed="false">
      <c r="A505" s="4"/>
      <c r="B505" s="3"/>
      <c r="C505" s="3"/>
    </row>
    <row r="506" customFormat="false" ht="15.75" hidden="false" customHeight="false" outlineLevel="0" collapsed="false">
      <c r="A506" s="4"/>
      <c r="B506" s="3"/>
      <c r="C506" s="3"/>
    </row>
    <row r="507" customFormat="false" ht="15.75" hidden="false" customHeight="false" outlineLevel="0" collapsed="false">
      <c r="A507" s="4"/>
      <c r="B507" s="3"/>
      <c r="C507" s="3"/>
    </row>
    <row r="508" customFormat="false" ht="15.75" hidden="false" customHeight="false" outlineLevel="0" collapsed="false">
      <c r="A508" s="4"/>
      <c r="B508" s="3"/>
      <c r="C508" s="3"/>
    </row>
    <row r="509" customFormat="false" ht="15.75" hidden="false" customHeight="false" outlineLevel="0" collapsed="false">
      <c r="A509" s="4"/>
      <c r="B509" s="3"/>
      <c r="C509" s="3"/>
    </row>
    <row r="510" customFormat="false" ht="15.75" hidden="false" customHeight="false" outlineLevel="0" collapsed="false">
      <c r="A510" s="4"/>
      <c r="B510" s="3"/>
      <c r="C510" s="3"/>
    </row>
    <row r="511" customFormat="false" ht="15.75" hidden="false" customHeight="false" outlineLevel="0" collapsed="false">
      <c r="A511" s="4"/>
      <c r="B511" s="3"/>
      <c r="C511" s="3"/>
    </row>
    <row r="512" customFormat="false" ht="15.75" hidden="false" customHeight="false" outlineLevel="0" collapsed="false">
      <c r="A512" s="4"/>
      <c r="B512" s="3"/>
      <c r="C512" s="3"/>
    </row>
    <row r="513" customFormat="false" ht="15.75" hidden="false" customHeight="false" outlineLevel="0" collapsed="false">
      <c r="A513" s="4"/>
      <c r="B513" s="3"/>
      <c r="C513" s="3"/>
    </row>
    <row r="514" customFormat="false" ht="15.75" hidden="false" customHeight="false" outlineLevel="0" collapsed="false">
      <c r="A514" s="4"/>
      <c r="B514" s="3"/>
      <c r="C514" s="3"/>
    </row>
    <row r="515" customFormat="false" ht="15.75" hidden="false" customHeight="false" outlineLevel="0" collapsed="false">
      <c r="A515" s="4"/>
      <c r="B515" s="3"/>
      <c r="C515" s="3"/>
    </row>
    <row r="516" customFormat="false" ht="15.75" hidden="false" customHeight="false" outlineLevel="0" collapsed="false">
      <c r="A516" s="4"/>
      <c r="B516" s="3"/>
      <c r="C516" s="3"/>
    </row>
    <row r="517" customFormat="false" ht="15.75" hidden="false" customHeight="false" outlineLevel="0" collapsed="false">
      <c r="A517" s="4"/>
      <c r="B517" s="3"/>
      <c r="C517" s="3"/>
    </row>
    <row r="518" customFormat="false" ht="15.75" hidden="false" customHeight="false" outlineLevel="0" collapsed="false">
      <c r="A518" s="4"/>
      <c r="B518" s="3"/>
      <c r="C518" s="3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  <c r="B521" s="3"/>
      <c r="C521" s="3"/>
    </row>
    <row r="522" customFormat="false" ht="15.75" hidden="false" customHeight="false" outlineLevel="0" collapsed="false">
      <c r="A522" s="4"/>
      <c r="B522" s="3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  <c r="B530" s="3"/>
      <c r="C530" s="3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  <c r="C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B537" s="3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3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B550" s="3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4"/>
      <c r="B561" s="3"/>
      <c r="C561" s="3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  <c r="C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  <c r="C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  <c r="C586" s="3"/>
    </row>
    <row r="587" customFormat="false" ht="15.75" hidden="false" customHeight="false" outlineLevel="0" collapsed="false">
      <c r="A587" s="4"/>
      <c r="B587" s="3"/>
      <c r="C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  <c r="C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  <c r="C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  <c r="C597" s="3"/>
    </row>
    <row r="598" customFormat="false" ht="15.75" hidden="false" customHeight="false" outlineLevel="0" collapsed="false">
      <c r="A598" s="4"/>
      <c r="B598" s="3"/>
      <c r="C598" s="3"/>
    </row>
    <row r="599" customFormat="false" ht="15.75" hidden="false" customHeight="false" outlineLevel="0" collapsed="false">
      <c r="A599" s="4"/>
      <c r="B599" s="3"/>
      <c r="C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  <c r="C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A898" s="4"/>
      <c r="B898" s="3"/>
      <c r="C898" s="3"/>
    </row>
    <row r="899" customFormat="false" ht="15.75" hidden="false" customHeight="false" outlineLevel="0" collapsed="false">
      <c r="A899" s="4"/>
      <c r="B899" s="3"/>
      <c r="C899" s="3"/>
    </row>
    <row r="900" customFormat="false" ht="15.75" hidden="false" customHeight="false" outlineLevel="0" collapsed="false">
      <c r="A900" s="4"/>
      <c r="B900" s="3"/>
      <c r="C900" s="3"/>
    </row>
    <row r="901" customFormat="false" ht="15.75" hidden="false" customHeight="false" outlineLevel="0" collapsed="false">
      <c r="A901" s="4"/>
      <c r="B901" s="3"/>
      <c r="C901" s="3"/>
    </row>
    <row r="902" customFormat="false" ht="15.75" hidden="false" customHeight="false" outlineLevel="0" collapsed="false">
      <c r="A902" s="4"/>
      <c r="B902" s="3"/>
      <c r="C902" s="3"/>
    </row>
    <row r="903" customFormat="false" ht="15.75" hidden="false" customHeight="false" outlineLevel="0" collapsed="false">
      <c r="A903" s="4"/>
      <c r="B903" s="3"/>
      <c r="C903" s="3"/>
    </row>
    <row r="904" customFormat="false" ht="15.75" hidden="false" customHeight="false" outlineLevel="0" collapsed="false">
      <c r="A904" s="4"/>
      <c r="B904" s="3"/>
      <c r="C904" s="3"/>
    </row>
    <row r="905" customFormat="false" ht="15.75" hidden="false" customHeight="false" outlineLevel="0" collapsed="false">
      <c r="A905" s="4"/>
      <c r="B905" s="3"/>
      <c r="C905" s="3"/>
    </row>
    <row r="906" customFormat="false" ht="15.75" hidden="false" customHeight="false" outlineLevel="0" collapsed="false">
      <c r="A906" s="4"/>
      <c r="B906" s="3"/>
      <c r="C906" s="3"/>
    </row>
    <row r="907" customFormat="false" ht="15.75" hidden="false" customHeight="false" outlineLevel="0" collapsed="false">
      <c r="A907" s="4"/>
      <c r="B907" s="3"/>
      <c r="C907" s="3"/>
    </row>
    <row r="908" customFormat="false" ht="15.75" hidden="false" customHeight="false" outlineLevel="0" collapsed="false">
      <c r="A908" s="4"/>
      <c r="B908" s="3"/>
      <c r="C908" s="3"/>
    </row>
    <row r="909" customFormat="false" ht="15.75" hidden="false" customHeight="false" outlineLevel="0" collapsed="false">
      <c r="A909" s="4"/>
      <c r="B909" s="3"/>
      <c r="C909" s="3"/>
    </row>
    <row r="910" customFormat="false" ht="15.75" hidden="false" customHeight="false" outlineLevel="0" collapsed="false">
      <c r="A910" s="4"/>
      <c r="B910" s="3"/>
      <c r="C910" s="3"/>
    </row>
    <row r="911" customFormat="false" ht="15.75" hidden="false" customHeight="false" outlineLevel="0" collapsed="false">
      <c r="A911" s="4"/>
      <c r="B911" s="3"/>
      <c r="C911" s="3"/>
    </row>
    <row r="912" customFormat="false" ht="15.75" hidden="false" customHeight="false" outlineLevel="0" collapsed="false">
      <c r="A912" s="4"/>
      <c r="B912" s="3"/>
      <c r="C912" s="3"/>
    </row>
    <row r="913" customFormat="false" ht="15.75" hidden="false" customHeight="false" outlineLevel="0" collapsed="false">
      <c r="A913" s="4"/>
      <c r="B913" s="3"/>
      <c r="C913" s="3"/>
    </row>
    <row r="914" customFormat="false" ht="15.75" hidden="false" customHeight="false" outlineLevel="0" collapsed="false">
      <c r="A914" s="4"/>
      <c r="B914" s="3"/>
      <c r="C914" s="3"/>
    </row>
    <row r="915" customFormat="false" ht="15.75" hidden="false" customHeight="false" outlineLevel="0" collapsed="false">
      <c r="A915" s="4"/>
      <c r="B915" s="3"/>
      <c r="C915" s="3"/>
    </row>
    <row r="916" customFormat="false" ht="15.75" hidden="false" customHeight="false" outlineLevel="0" collapsed="false">
      <c r="A916" s="4"/>
      <c r="B916" s="3"/>
      <c r="C916" s="3"/>
    </row>
    <row r="917" customFormat="false" ht="15.75" hidden="false" customHeight="false" outlineLevel="0" collapsed="false">
      <c r="A917" s="4"/>
      <c r="B917" s="3"/>
      <c r="C917" s="3"/>
    </row>
    <row r="918" customFormat="false" ht="15.75" hidden="false" customHeight="false" outlineLevel="0" collapsed="false">
      <c r="A918" s="4"/>
      <c r="B918" s="3"/>
      <c r="C918" s="3"/>
    </row>
    <row r="919" customFormat="false" ht="15.75" hidden="false" customHeight="false" outlineLevel="0" collapsed="false">
      <c r="A919" s="4"/>
      <c r="B919" s="3"/>
      <c r="C919" s="3"/>
    </row>
    <row r="920" customFormat="false" ht="15.75" hidden="false" customHeight="false" outlineLevel="0" collapsed="false">
      <c r="A920" s="4"/>
      <c r="B920" s="3"/>
      <c r="C920" s="3"/>
    </row>
    <row r="921" customFormat="false" ht="15.75" hidden="false" customHeight="false" outlineLevel="0" collapsed="false">
      <c r="A921" s="4"/>
      <c r="B921" s="3"/>
      <c r="C921" s="3"/>
    </row>
    <row r="922" customFormat="false" ht="15.75" hidden="false" customHeight="false" outlineLevel="0" collapsed="false">
      <c r="A922" s="4"/>
      <c r="B922" s="3"/>
      <c r="C922" s="3"/>
    </row>
    <row r="923" customFormat="false" ht="15.75" hidden="false" customHeight="false" outlineLevel="0" collapsed="false">
      <c r="A923" s="4"/>
      <c r="B923" s="3"/>
      <c r="C923" s="3"/>
    </row>
    <row r="924" customFormat="false" ht="15.75" hidden="false" customHeight="false" outlineLevel="0" collapsed="false">
      <c r="A924" s="4"/>
      <c r="B924" s="3"/>
      <c r="C924" s="3"/>
    </row>
    <row r="925" customFormat="false" ht="15.75" hidden="false" customHeight="false" outlineLevel="0" collapsed="false">
      <c r="A925" s="4"/>
      <c r="B925" s="3"/>
      <c r="C925" s="3"/>
    </row>
    <row r="926" customFormat="false" ht="15.75" hidden="false" customHeight="false" outlineLevel="0" collapsed="false">
      <c r="A926" s="4"/>
      <c r="B926" s="3"/>
      <c r="C926" s="3"/>
    </row>
    <row r="927" customFormat="false" ht="15.75" hidden="false" customHeight="false" outlineLevel="0" collapsed="false">
      <c r="A927" s="4"/>
      <c r="B927" s="3"/>
      <c r="C927" s="3"/>
    </row>
    <row r="928" customFormat="false" ht="15.75" hidden="false" customHeight="false" outlineLevel="0" collapsed="false">
      <c r="A928" s="4"/>
      <c r="B928" s="3"/>
      <c r="C928" s="3"/>
    </row>
    <row r="929" customFormat="false" ht="15.75" hidden="false" customHeight="false" outlineLevel="0" collapsed="false">
      <c r="A929" s="4"/>
      <c r="B929" s="3"/>
      <c r="C929" s="3"/>
    </row>
    <row r="930" customFormat="false" ht="15.75" hidden="false" customHeight="false" outlineLevel="0" collapsed="false">
      <c r="A930" s="4"/>
      <c r="B930" s="3"/>
      <c r="C930" s="3"/>
    </row>
    <row r="931" customFormat="false" ht="15.75" hidden="false" customHeight="false" outlineLevel="0" collapsed="false">
      <c r="A931" s="4"/>
      <c r="B931" s="3"/>
      <c r="C931" s="3"/>
    </row>
    <row r="932" customFormat="false" ht="15.75" hidden="false" customHeight="false" outlineLevel="0" collapsed="false">
      <c r="A932" s="4"/>
      <c r="B932" s="3"/>
      <c r="C932" s="3"/>
    </row>
    <row r="933" customFormat="false" ht="15.75" hidden="false" customHeight="false" outlineLevel="0" collapsed="false">
      <c r="A933" s="4"/>
      <c r="B933" s="3"/>
      <c r="C933" s="3"/>
    </row>
    <row r="934" customFormat="false" ht="15.75" hidden="false" customHeight="false" outlineLevel="0" collapsed="false">
      <c r="A934" s="4"/>
      <c r="B934" s="3"/>
      <c r="C934" s="3"/>
    </row>
    <row r="935" customFormat="false" ht="15.75" hidden="false" customHeight="false" outlineLevel="0" collapsed="false">
      <c r="A935" s="4"/>
      <c r="B935" s="3"/>
      <c r="C935" s="3"/>
    </row>
    <row r="936" customFormat="false" ht="15.75" hidden="false" customHeight="false" outlineLevel="0" collapsed="false">
      <c r="A936" s="4"/>
      <c r="B936" s="3"/>
      <c r="C936" s="3"/>
    </row>
    <row r="937" customFormat="false" ht="15.75" hidden="false" customHeight="false" outlineLevel="0" collapsed="false">
      <c r="A937" s="4"/>
      <c r="B937" s="3"/>
      <c r="C937" s="3"/>
    </row>
    <row r="938" customFormat="false" ht="15.75" hidden="false" customHeight="false" outlineLevel="0" collapsed="false">
      <c r="A938" s="4"/>
      <c r="B938" s="3"/>
      <c r="C938" s="3"/>
    </row>
    <row r="939" customFormat="false" ht="15.75" hidden="false" customHeight="false" outlineLevel="0" collapsed="false">
      <c r="A939" s="4"/>
      <c r="B939" s="3"/>
      <c r="C939" s="3"/>
    </row>
    <row r="940" customFormat="false" ht="15.75" hidden="false" customHeight="false" outlineLevel="0" collapsed="false">
      <c r="A940" s="4"/>
      <c r="B940" s="3"/>
      <c r="C940" s="3"/>
    </row>
    <row r="941" customFormat="false" ht="15.75" hidden="false" customHeight="false" outlineLevel="0" collapsed="false">
      <c r="A941" s="4"/>
      <c r="B941" s="3"/>
      <c r="C941" s="3"/>
    </row>
    <row r="942" customFormat="false" ht="15.75" hidden="false" customHeight="false" outlineLevel="0" collapsed="false">
      <c r="B942" s="3"/>
      <c r="C942" s="3"/>
    </row>
    <row r="943" customFormat="false" ht="15.75" hidden="false" customHeight="false" outlineLevel="0" collapsed="false">
      <c r="B943" s="3"/>
      <c r="C943" s="3"/>
    </row>
    <row r="944" customFormat="false" ht="15.75" hidden="false" customHeight="false" outlineLevel="0" collapsed="false">
      <c r="B944" s="3"/>
      <c r="C944" s="3"/>
    </row>
    <row r="945" customFormat="false" ht="15.75" hidden="false" customHeight="false" outlineLevel="0" collapsed="false">
      <c r="B945" s="3"/>
      <c r="C945" s="3"/>
    </row>
    <row r="946" customFormat="false" ht="15.75" hidden="false" customHeight="false" outlineLevel="0" collapsed="false">
      <c r="B946" s="3"/>
      <c r="C946" s="3"/>
    </row>
    <row r="947" customFormat="false" ht="15.75" hidden="false" customHeight="false" outlineLevel="0" collapsed="false">
      <c r="B947" s="3"/>
      <c r="C947" s="3"/>
    </row>
    <row r="948" customFormat="false" ht="15.75" hidden="false" customHeight="false" outlineLevel="0" collapsed="false">
      <c r="B948" s="3"/>
      <c r="C948" s="3"/>
    </row>
    <row r="949" customFormat="false" ht="15.75" hidden="false" customHeight="false" outlineLevel="0" collapsed="false">
      <c r="B949" s="3"/>
      <c r="C949" s="3"/>
    </row>
    <row r="950" customFormat="false" ht="15.75" hidden="false" customHeight="false" outlineLevel="0" collapsed="false">
      <c r="B950" s="3"/>
      <c r="C950" s="3"/>
    </row>
    <row r="951" customFormat="false" ht="15.75" hidden="false" customHeight="false" outlineLevel="0" collapsed="false">
      <c r="B951" s="3"/>
      <c r="C951" s="3"/>
    </row>
    <row r="952" customFormat="false" ht="15.75" hidden="false" customHeight="false" outlineLevel="0" collapsed="false">
      <c r="B952" s="3"/>
      <c r="C952" s="3"/>
    </row>
    <row r="953" customFormat="false" ht="15.75" hidden="false" customHeight="false" outlineLevel="0" collapsed="false">
      <c r="B953" s="3"/>
      <c r="C953" s="3"/>
    </row>
    <row r="954" customFormat="false" ht="15.75" hidden="false" customHeight="false" outlineLevel="0" collapsed="false">
      <c r="B954" s="3"/>
      <c r="C954" s="3"/>
    </row>
    <row r="955" customFormat="false" ht="15.75" hidden="false" customHeight="false" outlineLevel="0" collapsed="false">
      <c r="B955" s="3"/>
      <c r="C955" s="3"/>
    </row>
    <row r="956" customFormat="false" ht="15.75" hidden="false" customHeight="false" outlineLevel="0" collapsed="false">
      <c r="B956" s="3"/>
      <c r="C956" s="3"/>
    </row>
    <row r="957" customFormat="false" ht="15.75" hidden="false" customHeight="false" outlineLevel="0" collapsed="false">
      <c r="B957" s="3"/>
      <c r="C957" s="3"/>
    </row>
    <row r="958" customFormat="false" ht="15.75" hidden="false" customHeight="false" outlineLevel="0" collapsed="false">
      <c r="B958" s="3"/>
      <c r="C958" s="3"/>
    </row>
    <row r="959" customFormat="false" ht="15.75" hidden="false" customHeight="false" outlineLevel="0" collapsed="false">
      <c r="B959" s="3"/>
      <c r="C959" s="3"/>
    </row>
    <row r="960" customFormat="false" ht="15.75" hidden="false" customHeight="false" outlineLevel="0" collapsed="false">
      <c r="B960" s="3"/>
      <c r="C960" s="3"/>
    </row>
    <row r="961" customFormat="false" ht="15.75" hidden="false" customHeight="false" outlineLevel="0" collapsed="false">
      <c r="B961" s="3"/>
      <c r="C961" s="3"/>
    </row>
    <row r="962" customFormat="false" ht="15.75" hidden="false" customHeight="false" outlineLevel="0" collapsed="false">
      <c r="B962" s="3"/>
      <c r="C962" s="3"/>
    </row>
    <row r="963" customFormat="false" ht="15.75" hidden="false" customHeight="false" outlineLevel="0" collapsed="false">
      <c r="B963" s="3"/>
      <c r="C963" s="3"/>
    </row>
    <row r="964" customFormat="false" ht="15.75" hidden="false" customHeight="false" outlineLevel="0" collapsed="false">
      <c r="B964" s="3"/>
      <c r="C964" s="3"/>
    </row>
    <row r="965" customFormat="false" ht="15.75" hidden="false" customHeight="false" outlineLevel="0" collapsed="false">
      <c r="B965" s="3"/>
      <c r="C965" s="3"/>
    </row>
    <row r="966" customFormat="false" ht="15.75" hidden="false" customHeight="false" outlineLevel="0" collapsed="false">
      <c r="B966" s="3"/>
      <c r="C966" s="3"/>
    </row>
    <row r="967" customFormat="false" ht="15.75" hidden="false" customHeight="false" outlineLevel="0" collapsed="false">
      <c r="B967" s="3"/>
      <c r="C967" s="3"/>
    </row>
    <row r="968" customFormat="false" ht="15.75" hidden="false" customHeight="false" outlineLevel="0" collapsed="false">
      <c r="B968" s="3"/>
      <c r="C968" s="3"/>
    </row>
    <row r="969" customFormat="false" ht="15.75" hidden="false" customHeight="false" outlineLevel="0" collapsed="false">
      <c r="B969" s="3"/>
      <c r="C969" s="3"/>
    </row>
    <row r="970" customFormat="false" ht="15.75" hidden="false" customHeight="false" outlineLevel="0" collapsed="false">
      <c r="B970" s="3"/>
      <c r="C970" s="3"/>
    </row>
    <row r="971" customFormat="false" ht="15.75" hidden="false" customHeight="false" outlineLevel="0" collapsed="false">
      <c r="B971" s="3"/>
      <c r="C971" s="3"/>
    </row>
    <row r="972" customFormat="false" ht="15.75" hidden="false" customHeight="false" outlineLevel="0" collapsed="false">
      <c r="B972" s="3"/>
      <c r="C972" s="3"/>
    </row>
    <row r="973" customFormat="false" ht="15.75" hidden="false" customHeight="false" outlineLevel="0" collapsed="false">
      <c r="B973" s="3"/>
      <c r="C973" s="3"/>
    </row>
    <row r="974" customFormat="false" ht="15.75" hidden="false" customHeight="false" outlineLevel="0" collapsed="false">
      <c r="B974" s="3"/>
      <c r="C974" s="3"/>
    </row>
    <row r="975" customFormat="false" ht="15.75" hidden="false" customHeight="false" outlineLevel="0" collapsed="false">
      <c r="B975" s="3"/>
      <c r="C975" s="3"/>
    </row>
    <row r="976" customFormat="false" ht="15.75" hidden="false" customHeight="false" outlineLevel="0" collapsed="false">
      <c r="B976" s="3"/>
      <c r="C976" s="3"/>
    </row>
    <row r="977" customFormat="false" ht="15.75" hidden="false" customHeight="false" outlineLevel="0" collapsed="false">
      <c r="B977" s="3"/>
      <c r="C977" s="3"/>
    </row>
    <row r="978" customFormat="false" ht="15.75" hidden="false" customHeight="false" outlineLevel="0" collapsed="false">
      <c r="B978" s="3"/>
      <c r="C978" s="3"/>
    </row>
    <row r="979" customFormat="false" ht="15.75" hidden="false" customHeight="false" outlineLevel="0" collapsed="false">
      <c r="B979" s="3"/>
      <c r="C979" s="3"/>
    </row>
    <row r="980" customFormat="false" ht="15.75" hidden="false" customHeight="false" outlineLevel="0" collapsed="false">
      <c r="B980" s="3"/>
      <c r="C980" s="3"/>
    </row>
    <row r="981" customFormat="false" ht="15.75" hidden="false" customHeight="false" outlineLevel="0" collapsed="false">
      <c r="B981" s="3"/>
      <c r="C981" s="3"/>
    </row>
    <row r="982" customFormat="false" ht="15.75" hidden="false" customHeight="false" outlineLevel="0" collapsed="false">
      <c r="B982" s="3"/>
      <c r="C982" s="3"/>
    </row>
    <row r="983" customFormat="false" ht="15.75" hidden="false" customHeight="false" outlineLevel="0" collapsed="false">
      <c r="B983" s="3"/>
      <c r="C983" s="3"/>
    </row>
    <row r="984" customFormat="false" ht="15.75" hidden="false" customHeight="false" outlineLevel="0" collapsed="false">
      <c r="B984" s="3"/>
      <c r="C984" s="3"/>
    </row>
    <row r="985" customFormat="false" ht="15.75" hidden="false" customHeight="false" outlineLevel="0" collapsed="false">
      <c r="B985" s="3"/>
      <c r="C985" s="3"/>
    </row>
    <row r="986" customFormat="false" ht="15.75" hidden="false" customHeight="false" outlineLevel="0" collapsed="false">
      <c r="B986" s="3"/>
      <c r="C986" s="3"/>
    </row>
    <row r="987" customFormat="false" ht="15.75" hidden="false" customHeight="false" outlineLevel="0" collapsed="false">
      <c r="B987" s="3"/>
      <c r="C987" s="3"/>
    </row>
    <row r="988" customFormat="false" ht="15.75" hidden="false" customHeight="false" outlineLevel="0" collapsed="false">
      <c r="B988" s="3"/>
      <c r="C988" s="3"/>
    </row>
    <row r="989" customFormat="false" ht="15.75" hidden="false" customHeight="false" outlineLevel="0" collapsed="false">
      <c r="B989" s="3"/>
      <c r="C989" s="3"/>
    </row>
    <row r="990" customFormat="false" ht="15.75" hidden="false" customHeight="false" outlineLevel="0" collapsed="false">
      <c r="B990" s="3"/>
      <c r="C990" s="3"/>
    </row>
    <row r="991" customFormat="false" ht="15.75" hidden="false" customHeight="false" outlineLevel="0" collapsed="false">
      <c r="B991" s="3"/>
      <c r="C991" s="3"/>
    </row>
    <row r="992" customFormat="false" ht="15.75" hidden="false" customHeight="false" outlineLevel="0" collapsed="false">
      <c r="B992" s="3"/>
      <c r="C992" s="3"/>
    </row>
    <row r="993" customFormat="false" ht="15.75" hidden="false" customHeight="false" outlineLevel="0" collapsed="false">
      <c r="B993" s="3"/>
      <c r="C993" s="3"/>
    </row>
    <row r="994" customFormat="false" ht="15.75" hidden="false" customHeight="false" outlineLevel="0" collapsed="false">
      <c r="B994" s="3"/>
      <c r="C994" s="3"/>
    </row>
    <row r="995" customFormat="false" ht="15.75" hidden="false" customHeight="false" outlineLevel="0" collapsed="false">
      <c r="B995" s="3"/>
      <c r="C995" s="3"/>
    </row>
    <row r="996" customFormat="false" ht="15.75" hidden="false" customHeight="false" outlineLevel="0" collapsed="false">
      <c r="B996" s="3"/>
      <c r="C996" s="3"/>
    </row>
    <row r="997" customFormat="false" ht="15.75" hidden="false" customHeight="false" outlineLevel="0" collapsed="false">
      <c r="B997" s="3"/>
      <c r="C997" s="3"/>
    </row>
    <row r="998" customFormat="false" ht="15.75" hidden="false" customHeight="false" outlineLevel="0" collapsed="false">
      <c r="B998" s="3"/>
      <c r="C998" s="3"/>
    </row>
    <row r="999" customFormat="false" ht="15.75" hidden="false" customHeight="false" outlineLevel="0" collapsed="false">
      <c r="B999" s="3"/>
      <c r="C999" s="3"/>
    </row>
    <row r="1000" customFormat="false" ht="15.75" hidden="false" customHeight="false" outlineLevel="0" collapsed="false">
      <c r="B1000" s="3"/>
      <c r="C1000" s="3"/>
    </row>
    <row r="1001" customFormat="false" ht="15.75" hidden="false" customHeight="false" outlineLevel="0" collapsed="false">
      <c r="B1001" s="3"/>
      <c r="C1001" s="3"/>
    </row>
    <row r="1002" customFormat="false" ht="15.75" hidden="false" customHeight="false" outlineLevel="0" collapsed="false">
      <c r="B1002" s="3"/>
      <c r="C1002" s="3"/>
    </row>
    <row r="1003" customFormat="false" ht="15.75" hidden="false" customHeight="false" outlineLevel="0" collapsed="false">
      <c r="B1003" s="3"/>
      <c r="C1003" s="3"/>
    </row>
    <row r="1004" customFormat="false" ht="15.75" hidden="false" customHeight="false" outlineLevel="0" collapsed="false">
      <c r="B1004" s="3"/>
      <c r="C1004" s="3"/>
    </row>
    <row r="1005" customFormat="false" ht="15.75" hidden="false" customHeight="false" outlineLevel="0" collapsed="false">
      <c r="B1005" s="3"/>
      <c r="C1005" s="3"/>
    </row>
    <row r="1006" customFormat="false" ht="15.75" hidden="false" customHeight="false" outlineLevel="0" collapsed="false">
      <c r="B1006" s="3"/>
      <c r="C1006" s="3"/>
    </row>
    <row r="1007" customFormat="false" ht="15.75" hidden="false" customHeight="false" outlineLevel="0" collapsed="false">
      <c r="B1007" s="3"/>
      <c r="C1007" s="3"/>
    </row>
    <row r="1008" customFormat="false" ht="15.75" hidden="false" customHeight="false" outlineLevel="0" collapsed="false">
      <c r="B1008" s="3"/>
      <c r="C1008" s="3"/>
    </row>
    <row r="1009" customFormat="false" ht="15.75" hidden="false" customHeight="false" outlineLevel="0" collapsed="false">
      <c r="B1009" s="3"/>
      <c r="C1009" s="3"/>
    </row>
    <row r="1010" customFormat="false" ht="15.75" hidden="false" customHeight="false" outlineLevel="0" collapsed="false">
      <c r="B1010" s="3"/>
      <c r="C1010" s="3"/>
    </row>
    <row r="1011" customFormat="false" ht="15.75" hidden="false" customHeight="false" outlineLevel="0" collapsed="false">
      <c r="B1011" s="3"/>
      <c r="C1011" s="3"/>
    </row>
    <row r="1048576" customFormat="false" ht="15.75" hidden="false" customHeight="true" outlineLevel="0" collapsed="false"/>
  </sheetData>
  <conditionalFormatting sqref="C119">
    <cfRule type="expression" priority="2" aboveAverage="0" equalAverage="0" bottom="0" percent="0" rank="0" text="" dxfId="1">
      <formula>D119="YES"</formula>
    </cfRule>
  </conditionalFormatting>
  <conditionalFormatting sqref="A2:A176 A179:A941">
    <cfRule type="expression" priority="3" aboveAverage="0" equalAverage="0" bottom="0" percent="0" rank="0" text="" dxfId="2">
      <formula>COUNTIF(B2:C2,A2)=0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3.63"/>
    <col collapsed="false" customWidth="true" hidden="false" outlineLevel="0" max="2" min="2" style="0" width="7"/>
    <col collapsed="false" customWidth="true" hidden="false" outlineLevel="0" max="3" min="3" style="0" width="117.5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1297</v>
      </c>
      <c r="B2" s="3" t="str">
        <f aca="false">IF(COUNTIF(Final_CB_B1_V5!$B$2:$B$527,A2)&gt;=1,"YES","NO")</f>
        <v>YES</v>
      </c>
      <c r="C2" s="3" t="s">
        <v>1298</v>
      </c>
      <c r="D2" s="3" t="str">
        <f aca="false">IF(COUNTIF(Final_CB_B1_V5!$C$2:$C$527,C2)&gt;=1,"YES","NO")</f>
        <v>YES</v>
      </c>
      <c r="F2" s="4" t="str">
        <f aca="false">IFERROR(__xludf.dummyfunction("filter(A2:A700, MATCH(A2:A700, C2:C700, FALSE))"),"Babel")</f>
        <v>Babel</v>
      </c>
      <c r="G2" s="4" t="str">
        <f aca="false">IFERROR(__xludf.dummyfunction("filter(A2:A700,iserror(MATCH(A2:A700, C2:C700, FALSE)))"),"db::datasets::ci")</f>
        <v>db::datasets::ci</v>
      </c>
      <c r="H2" s="4" t="str">
        <f aca="false">IFERROR(__xludf.dummyfunction("filter(C2:C700,ISERROR(MATCH(C2:C700, A2:A700, FALSE)))"),"aopalliance")</f>
        <v>aopalliance</v>
      </c>
    </row>
    <row r="3" customFormat="false" ht="15.75" hidden="false" customHeight="false" outlineLevel="0" collapsed="false">
      <c r="A3" s="3" t="s">
        <v>1299</v>
      </c>
      <c r="B3" s="3" t="str">
        <f aca="false">IF(COUNTIF(Final_CB_B1_V5!$B$2:$B$527,A3)&gt;=1,"YES","NO")</f>
        <v>YES</v>
      </c>
      <c r="C3" s="3" t="s">
        <v>1297</v>
      </c>
      <c r="D3" s="3" t="str">
        <f aca="false">IF(COUNTIF(Final_CB_B1_V5!$C$2:$C$527,C3)&gt;=1,"YES","NO")</f>
        <v>YES</v>
      </c>
      <c r="F3" s="4" t="str">
        <f aca="false">IFERROR(__xludf.dummyfunction("""COMPUTED_VALUE"""),"carrotsearch")</f>
        <v>carrotsearch</v>
      </c>
      <c r="G3" s="4" t="str">
        <f aca="false">IFERROR(__xludf.dummyfunction("""COMPUTED_VALUE"""),"Docker::CI")</f>
        <v>Docker::CI</v>
      </c>
      <c r="H3" s="4" t="str">
        <f aca="false">IFERROR(__xludf.dummyfunction("""COMPUTED_VALUE"""),"codehaus::jackson")</f>
        <v>codehaus::jackson</v>
      </c>
    </row>
    <row r="4" customFormat="false" ht="15.75" hidden="false" customHeight="false" outlineLevel="0" collapsed="false">
      <c r="A4" s="3" t="s">
        <v>1300</v>
      </c>
      <c r="B4" s="3" t="str">
        <f aca="false">IF(COUNTIF(Final_CB_B1_V5!$B$2:$B$527,A4)&gt;=1,"YES","NO")</f>
        <v>YES</v>
      </c>
      <c r="C4" s="3" t="s">
        <v>1299</v>
      </c>
      <c r="D4" s="3" t="str">
        <f aca="false">IF(COUNTIF(Final_CB_B1_V5!$C$2:$C$527,C4)&gt;=1,"YES","NO")</f>
        <v>YES</v>
      </c>
      <c r="F4" s="4" t="str">
        <f aca="false">IFERROR(__xludf.dummyfunction("""COMPUTED_VALUE"""),"Citrix::XenServer::CI::(XenServer::CI)")</f>
        <v>Citrix::XenServer::CI::(XenServer::CI)</v>
      </c>
      <c r="G4" s="4" t="str">
        <f aca="false">IFERROR(__xludf.dummyfunction("""COMPUTED_VALUE"""),"eclipse::ide")</f>
        <v>eclipse::ide</v>
      </c>
      <c r="H4" s="4" t="str">
        <f aca="false">IFERROR(__xludf.dummyfunction("""COMPUTED_VALUE"""),"Database::CI::(Turbo::hispter)")</f>
        <v>Database::CI::(Turbo::hispter)</v>
      </c>
    </row>
    <row r="5" customFormat="false" ht="15.75" hidden="false" customHeight="false" outlineLevel="0" collapsed="false">
      <c r="A5" s="3" t="s">
        <v>1301</v>
      </c>
      <c r="B5" s="3" t="str">
        <f aca="false">IF(COUNTIF(Final_CB_B1_V5!$B$2:$B$527,A5)&gt;=1,"YES","NO")</f>
        <v>YES</v>
      </c>
      <c r="C5" s="3" t="s">
        <v>1300</v>
      </c>
      <c r="D5" s="3" t="str">
        <f aca="false">IF(COUNTIF(Final_CB_B1_V5!$C$2:$C$527,C5)&gt;=1,"YES","NO")</f>
        <v>YES</v>
      </c>
      <c r="F5" s="4" t="str">
        <f aca="false">IFERROR(__xludf.dummyfunction("""COMPUTED_VALUE"""),"Dream::Host::CI")</f>
        <v>Dream::Host::CI</v>
      </c>
      <c r="G5" s="4" t="str">
        <f aca="false">IFERROR(__xludf.dummyfunction("""COMPUTED_VALUE"""),"flake8")</f>
        <v>flake8</v>
      </c>
      <c r="H5" s="4" t="str">
        <f aca="false">IFERROR(__xludf.dummyfunction("""COMPUTED_VALUE"""),"Distutilsextra")</f>
        <v>Distutilsextra</v>
      </c>
    </row>
    <row r="6" customFormat="false" ht="15.75" hidden="false" customHeight="false" outlineLevel="0" collapsed="false">
      <c r="A6" s="3" t="s">
        <v>1302</v>
      </c>
      <c r="B6" s="3" t="str">
        <f aca="false">IF(COUNTIF(Final_CB_B1_V5!$B$2:$B$527,A6)&gt;=1,"YES","NO")</f>
        <v>YES</v>
      </c>
      <c r="C6" s="3" t="s">
        <v>1303</v>
      </c>
      <c r="D6" s="3" t="str">
        <f aca="false">IF(COUNTIF(Final_CB_B1_V5!$C$2:$C$527,C6)&gt;=1,"YES","NO")</f>
        <v>YES</v>
      </c>
      <c r="F6" s="4" t="str">
        <f aca="false">IFERROR(__xludf.dummyfunction("""COMPUTED_VALUE"""),"elastic::recheck")</f>
        <v>elastic::recheck</v>
      </c>
      <c r="G6" s="4" t="str">
        <f aca="false">IFERROR(__xludf.dummyfunction("""COMPUTED_VALUE"""),"flake8::hacking")</f>
        <v>flake8::hacking</v>
      </c>
      <c r="H6" s="4" t="str">
        <f aca="false">IFERROR(__xludf.dummyfunction("""COMPUTED_VALUE"""),"Easy::install::(Setuptools)")</f>
        <v>Easy::install::(Setuptools)</v>
      </c>
    </row>
    <row r="7" customFormat="false" ht="15.75" hidden="false" customHeight="false" outlineLevel="0" collapsed="false">
      <c r="A7" s="3" t="s">
        <v>1304</v>
      </c>
      <c r="B7" s="3" t="str">
        <f aca="false">IF(COUNTIF(Final_CB_B1_V5!$B$2:$B$527,A7)&gt;=1,"YES","NO")</f>
        <v>YES</v>
      </c>
      <c r="C7" s="3" t="s">
        <v>1305</v>
      </c>
      <c r="D7" s="3" t="str">
        <f aca="false">IF(COUNTIF(Final_CB_B1_V5!$C$2:$C$527,C7)&gt;=1,"YES","NO")</f>
        <v>YES</v>
      </c>
      <c r="F7" s="4" t="str">
        <f aca="false">IFERROR(__xludf.dummyfunction("""COMPUTED_VALUE"""),"forbiddenapis")</f>
        <v>forbiddenapis</v>
      </c>
      <c r="G7" s="4" t="str">
        <f aca="false">IFERROR(__xludf.dummyfunction("""COMPUTED_VALUE"""),"genconfig")</f>
        <v>genconfig</v>
      </c>
      <c r="H7" s="4" t="str">
        <f aca="false">IFERROR(__xludf.dummyfunction("""COMPUTED_VALUE"""),"findbugs-maven-plugin")</f>
        <v>findbugs-maven-plugin</v>
      </c>
    </row>
    <row r="8" customFormat="false" ht="15.75" hidden="false" customHeight="false" outlineLevel="0" collapsed="false">
      <c r="A8" s="3" t="s">
        <v>1306</v>
      </c>
      <c r="B8" s="3" t="str">
        <f aca="false">IF(COUNTIF(Final_CB_B1_V5!$B$2:$B$527,A8)&gt;=1,"YES","NO")</f>
        <v>YES</v>
      </c>
      <c r="C8" s="3" t="s">
        <v>1307</v>
      </c>
      <c r="D8" s="3" t="str">
        <f aca="false">IF(COUNTIF(Final_CB_B1_V5!$C$2:$C$527,C8)&gt;=1,"YES","NO")</f>
        <v>YES</v>
      </c>
      <c r="F8" s="4" t="str">
        <f aca="false">IFERROR(__xludf.dummyfunction("""COMPUTED_VALUE"""),"gradle")</f>
        <v>gradle</v>
      </c>
      <c r="G8" s="4" t="str">
        <f aca="false">IFERROR(__xludf.dummyfunction("""COMPUTED_VALUE"""),"gerrit")</f>
        <v>gerrit</v>
      </c>
      <c r="H8" s="4" t="str">
        <f aca="false">IFERROR(__xludf.dummyfunction("""COMPUTED_VALUE"""),"git::review::(previous::to::pre::hooks)")</f>
        <v>git::review::(previous::to::pre::hooks)</v>
      </c>
    </row>
    <row r="9" customFormat="false" ht="15.75" hidden="false" customHeight="false" outlineLevel="0" collapsed="false">
      <c r="A9" s="3" t="s">
        <v>1308</v>
      </c>
      <c r="B9" s="3" t="str">
        <f aca="false">IF(COUNTIF(Final_CB_B1_V5!$B$2:$B$527,A9)&gt;=1,"YES","NO")</f>
        <v>YES</v>
      </c>
      <c r="C9" s="3" t="s">
        <v>1304</v>
      </c>
      <c r="D9" s="3" t="str">
        <f aca="false">IF(COUNTIF(Final_CB_B1_V5!$C$2:$C$527,C9)&gt;=1,"YES","NO")</f>
        <v>YES</v>
      </c>
      <c r="F9" s="4" t="str">
        <f aca="false">IFERROR(__xludf.dummyfunction("""COMPUTED_VALUE"""),"gradle::wrapper")</f>
        <v>gradle::wrapper</v>
      </c>
      <c r="G9" s="4" t="str">
        <f aca="false">IFERROR(__xludf.dummyfunction("""COMPUTED_VALUE"""),"google::findbugs")</f>
        <v>google::findbugs</v>
      </c>
      <c r="H9" s="4" t="str">
        <f aca="false">IFERROR(__xludf.dummyfunction("""COMPUTED_VALUE"""),"Hacking::(Flake8)")</f>
        <v>Hacking::(Flake8)</v>
      </c>
    </row>
    <row r="10" customFormat="false" ht="15.75" hidden="false" customHeight="false" outlineLevel="0" collapsed="false">
      <c r="A10" s="3" t="s">
        <v>1309</v>
      </c>
      <c r="B10" s="3" t="str">
        <f aca="false">IF(COUNTIF(Final_CB_B1_V5!$B$2:$B$527,A10)&gt;=1,"YES","NO")</f>
        <v>YES</v>
      </c>
      <c r="C10" s="3" t="s">
        <v>1310</v>
      </c>
      <c r="D10" s="3" t="str">
        <f aca="false">IF(COUNTIF(Final_CB_B1_V5!$C$2:$C$527,C10)&gt;=1,"YES","NO")</f>
        <v>YES</v>
      </c>
      <c r="F10" s="4" t="str">
        <f aca="false">IFERROR(__xludf.dummyfunction("""COMPUTED_VALUE"""),"Grenade")</f>
        <v>Grenade</v>
      </c>
      <c r="G10" s="4" t="str">
        <f aca="false">IFERROR(__xludf.dummyfunction("""COMPUTED_VALUE"""),"Hyper")</f>
        <v>Hyper</v>
      </c>
      <c r="H10" s="4" t="str">
        <f aca="false">IFERROR(__xludf.dummyfunction("""COMPUTED_VALUE"""),"Intel PCI CI")</f>
        <v>Intel PCI CI</v>
      </c>
    </row>
    <row r="11" customFormat="false" ht="15.75" hidden="false" customHeight="false" outlineLevel="0" collapsed="false">
      <c r="A11" s="3" t="s">
        <v>1311</v>
      </c>
      <c r="B11" s="3" t="str">
        <f aca="false">IF(COUNTIF(Final_CB_B1_V5!$B$2:$B$527,A11)&gt;=1,"YES","NO")</f>
        <v>YES</v>
      </c>
      <c r="C11" s="3" t="s">
        <v>1308</v>
      </c>
      <c r="D11" s="3" t="str">
        <f aca="false">IF(COUNTIF(Final_CB_B1_V5!$C$2:$C$527,C11)&gt;=1,"YES","NO")</f>
        <v>YES</v>
      </c>
      <c r="F11" s="4" t="str">
        <f aca="false">IFERROR(__xludf.dummyfunction("""COMPUTED_VALUE"""),"hamcrest")</f>
        <v>hamcrest</v>
      </c>
      <c r="G11" s="4" t="str">
        <f aca="false">IFERROR(__xludf.dummyfunction("""COMPUTED_VALUE"""),"Intel::PCI::CI")</f>
        <v>Intel::PCI::CI</v>
      </c>
      <c r="H11" s="4" t="str">
        <f aca="false">IFERROR(__xludf.dummyfunction("""COMPUTED_VALUE"""),"jacoco")</f>
        <v>jacoco</v>
      </c>
    </row>
    <row r="12" customFormat="false" ht="15.75" hidden="false" customHeight="false" outlineLevel="0" collapsed="false">
      <c r="A12" s="3" t="s">
        <v>1312</v>
      </c>
      <c r="B12" s="3" t="str">
        <f aca="false">IF(COUNTIF(Final_CB_B1_V5!$B$2:$B$527,A12)&gt;=1,"YES","NO")</f>
        <v>YES</v>
      </c>
      <c r="C12" s="3" t="s">
        <v>1313</v>
      </c>
      <c r="D12" s="3" t="str">
        <f aca="false">IF(COUNTIF(Final_CB_B1_V5!$C$2:$C$527,C12)&gt;=1,"YES","NO")</f>
        <v>YES</v>
      </c>
      <c r="F12" s="4" t="str">
        <f aca="false">IFERROR(__xludf.dummyfunction("""COMPUTED_VALUE"""),"IBM::PowerKVM::CI")</f>
        <v>IBM::PowerKVM::CI</v>
      </c>
      <c r="G12" s="4" t="str">
        <f aca="false">IFERROR(__xludf.dummyfunction("""COMPUTED_VALUE"""),"intelij::ide")</f>
        <v>intelij::ide</v>
      </c>
      <c r="H12" s="4" t="str">
        <f aca="false">IFERROR(__xludf.dummyfunction("""COMPUTED_VALUE"""),"javadoc")</f>
        <v>javadoc</v>
      </c>
    </row>
    <row r="13" customFormat="false" ht="15.75" hidden="false" customHeight="false" outlineLevel="0" collapsed="false">
      <c r="A13" s="3" t="s">
        <v>1314</v>
      </c>
      <c r="B13" s="3" t="str">
        <f aca="false">IF(COUNTIF(Final_CB_B1_V5!$B$2:$B$527,A13)&gt;=1,"YES","NO")</f>
        <v>YES</v>
      </c>
      <c r="C13" s="3" t="s">
        <v>1312</v>
      </c>
      <c r="D13" s="3" t="str">
        <f aca="false">IF(COUNTIF(Final_CB_B1_V5!$C$2:$C$527,C13)&gt;=1,"YES","NO")</f>
        <v>YES</v>
      </c>
      <c r="F13" s="4" t="str">
        <f aca="false">IFERROR(__xludf.dummyfunction("""COMPUTED_VALUE"""),"jarjar")</f>
        <v>jarjar</v>
      </c>
      <c r="G13" s="4" t="str">
        <f aca="false">IFERROR(__xludf.dummyfunction("""COMPUTED_VALUE"""),"mailamp")</f>
        <v>mailamp</v>
      </c>
      <c r="H13" s="4" t="str">
        <f aca="false">IFERROR(__xludf.dummyfunction("""COMPUTED_VALUE"""),"maven-checkstyle-plugin")</f>
        <v>maven-checkstyle-plugin</v>
      </c>
    </row>
    <row r="14" customFormat="false" ht="15.75" hidden="false" customHeight="false" outlineLevel="0" collapsed="false">
      <c r="A14" s="3" t="s">
        <v>1315</v>
      </c>
      <c r="B14" s="3" t="str">
        <f aca="false">IF(COUNTIF(Final_CB_B1_V5!$B$2:$B$527,A14)&gt;=1,"YES","NO")</f>
        <v>YES</v>
      </c>
      <c r="C14" s="3" t="s">
        <v>1316</v>
      </c>
      <c r="D14" s="3" t="str">
        <f aca="false">IF(COUNTIF(Final_CB_B1_V5!$C$2:$C$527,C14)&gt;=1,"YES","NO")</f>
        <v>YES</v>
      </c>
      <c r="F14" s="4" t="str">
        <f aca="false">IFERROR(__xludf.dummyfunction("""COMPUTED_VALUE"""),"Jenkins")</f>
        <v>Jenkins</v>
      </c>
      <c r="G14" s="4" t="str">
        <f aca="false">IFERROR(__xludf.dummyfunction("""COMPUTED_VALUE"""),"maven::repo::(appspot)")</f>
        <v>maven::repo::(appspot)</v>
      </c>
      <c r="H14" s="4" t="str">
        <f aca="false">IFERROR(__xludf.dummyfunction("""COMPUTED_VALUE"""),"maven-jxr-plugin")</f>
        <v>maven-jxr-plugin</v>
      </c>
    </row>
    <row r="15" customFormat="false" ht="15.75" hidden="false" customHeight="false" outlineLevel="0" collapsed="false">
      <c r="A15" s="3" t="s">
        <v>1317</v>
      </c>
      <c r="B15" s="3" t="str">
        <f aca="false">IF(COUNTIF(Final_CB_B1_V5!$B$2:$B$527,A15)&gt;=1,"YES","NO")</f>
        <v>YES</v>
      </c>
      <c r="C15" s="3" t="s">
        <v>1318</v>
      </c>
      <c r="D15" s="3" t="str">
        <f aca="false">IF(COUNTIF(Final_CB_B1_V5!$C$2:$C$527,C15)&gt;=1,"YES","NO")</f>
        <v>YES</v>
      </c>
      <c r="F15" s="4" t="str">
        <f aca="false">IFERROR(__xludf.dummyfunction("""COMPUTED_VALUE"""),"jmeter")</f>
        <v>jmeter</v>
      </c>
      <c r="G15" s="4" t="str">
        <f aca="false">IFERROR(__xludf.dummyfunction("""COMPUTED_VALUE"""),"nosetest::(coverage)")</f>
        <v>nosetest::(coverage)</v>
      </c>
      <c r="H15" s="4" t="str">
        <f aca="false">IFERROR(__xludf.dummyfunction("""COMPUTED_VALUE"""),"maven-pmd-plugin")</f>
        <v>maven-pmd-plugin</v>
      </c>
    </row>
    <row r="16" customFormat="false" ht="15.75" hidden="false" customHeight="false" outlineLevel="0" collapsed="false">
      <c r="A16" s="3" t="s">
        <v>1318</v>
      </c>
      <c r="B16" s="3" t="str">
        <f aca="false">IF(COUNTIF(Final_CB_B1_V5!$B$2:$B$527,A16)&gt;=1,"YES","NO")</f>
        <v>YES</v>
      </c>
      <c r="C16" s="3" t="s">
        <v>1319</v>
      </c>
      <c r="D16" s="3" t="str">
        <f aca="false">IF(COUNTIF(Final_CB_B1_V5!$C$2:$C$527,C16)&gt;=1,"YES","NO")</f>
        <v>YES</v>
      </c>
      <c r="F16" s="4" t="str">
        <f aca="false">IFERROR(__xludf.dummyfunction("""COMPUTED_VALUE"""),"junit")</f>
        <v>junit</v>
      </c>
      <c r="G16" s="4" t="str">
        <f aca="false">IFERROR(__xludf.dummyfunction("""COMPUTED_VALUE"""),"nosetest::(unit::test)")</f>
        <v>nosetest::(unit::test)</v>
      </c>
      <c r="H16" s="4" t="str">
        <f aca="false">IFERROR(__xludf.dummyfunction("""COMPUTED_VALUE"""),"maven::(own::repo)")</f>
        <v>maven::(own::repo)</v>
      </c>
    </row>
    <row r="17" customFormat="false" ht="15.75" hidden="false" customHeight="false" outlineLevel="0" collapsed="false">
      <c r="A17" s="3" t="s">
        <v>1319</v>
      </c>
      <c r="B17" s="3" t="str">
        <f aca="false">IF(COUNTIF(Final_CB_B1_V5!$B$2:$B$527,A17)&gt;=1,"YES","NO")</f>
        <v>YES</v>
      </c>
      <c r="C17" s="3" t="s">
        <v>1320</v>
      </c>
      <c r="D17" s="3" t="str">
        <f aca="false">IF(COUNTIF(Final_CB_B1_V5!$C$2:$C$527,C17)&gt;=1,"YES","NO")</f>
        <v>YES</v>
      </c>
      <c r="F17" s="4" t="str">
        <f aca="false">IFERROR(__xludf.dummyfunction("""COMPUTED_VALUE"""),"log4j")</f>
        <v>log4j</v>
      </c>
      <c r="G17" s="4" t="str">
        <f aca="false">IFERROR(__xludf.dummyfunction("""COMPUTED_VALUE"""),"OpenStack::Proposal::Bot")</f>
        <v>OpenStack::Proposal::Bot</v>
      </c>
      <c r="H17" s="4" t="str">
        <f aca="false">IFERROR(__xludf.dummyfunction("""COMPUTED_VALUE"""),"maven::(snakeyamlrepo)")</f>
        <v>maven::(snakeyamlrepo)</v>
      </c>
    </row>
    <row r="18" customFormat="false" ht="15.75" hidden="false" customHeight="false" outlineLevel="0" collapsed="false">
      <c r="A18" s="3" t="s">
        <v>1320</v>
      </c>
      <c r="B18" s="3" t="str">
        <f aca="false">IF(COUNTIF(Final_CB_B1_V5!$B$2:$B$527,A18)&gt;=1,"YES","NO")</f>
        <v>YES</v>
      </c>
      <c r="C18" s="3" t="s">
        <v>1321</v>
      </c>
      <c r="D18" s="3" t="str">
        <f aca="false">IF(COUNTIF(Final_CB_B1_V5!$C$2:$C$527,C18)&gt;=1,"YES","NO")</f>
        <v>YES</v>
      </c>
      <c r="F18" s="4" t="str">
        <f aca="false">IFERROR(__xludf.dummyfunction("""COMPUTED_VALUE"""),"maven")</f>
        <v>maven</v>
      </c>
      <c r="G18" s="4" t="str">
        <f aca="false">IFERROR(__xludf.dummyfunction("""COMPUTED_VALUE"""),"pep8::hacking")</f>
        <v>pep8::hacking</v>
      </c>
      <c r="H18" s="4" t="str">
        <f aca="false">IFERROR(__xludf.dummyfunction("""COMPUTED_VALUE"""),"maven::wagon")</f>
        <v>maven::wagon</v>
      </c>
    </row>
    <row r="19" customFormat="false" ht="15.75" hidden="false" customHeight="false" outlineLevel="0" collapsed="false">
      <c r="A19" s="3" t="s">
        <v>1322</v>
      </c>
      <c r="B19" s="3" t="str">
        <f aca="false">IF(COUNTIF(Final_CB_B1_V5!$B$2:$B$527,A19)&gt;=1,"YES","NO")</f>
        <v>YES</v>
      </c>
      <c r="C19" s="3" t="s">
        <v>1322</v>
      </c>
      <c r="D19" s="3" t="str">
        <f aca="false">IF(COUNTIF(Final_CB_B1_V5!$C$2:$C$527,C19)&gt;=1,"YES","NO")</f>
        <v>YES</v>
      </c>
      <c r="F19" s="4" t="str">
        <f aca="false">IFERROR(__xludf.dummyfunction("""COMPUTED_VALUE"""),"maven::migration")</f>
        <v>maven::migration</v>
      </c>
      <c r="G19" s="4" t="str">
        <f aca="false">IFERROR(__xludf.dummyfunction("""COMPUTED_VALUE"""),"pyflakes")</f>
        <v>pyflakes</v>
      </c>
      <c r="H19" s="4" t="str">
        <f aca="false">IFERROR(__xludf.dummyfunction("""COMPUTED_VALUE"""),"NA")</f>
        <v>NA</v>
      </c>
    </row>
    <row r="20" customFormat="false" ht="15.75" hidden="false" customHeight="false" outlineLevel="0" collapsed="false">
      <c r="A20" s="3" t="s">
        <v>1323</v>
      </c>
      <c r="B20" s="3" t="str">
        <f aca="false">IF(COUNTIF(Final_CB_B1_V5!$B$2:$B$527,A20)&gt;=1,"YES","NO")</f>
        <v>YES</v>
      </c>
      <c r="C20" s="3" t="s">
        <v>1324</v>
      </c>
      <c r="D20" s="3" t="str">
        <f aca="false">IF(COUNTIF(Final_CB_B1_V5!$C$2:$C$527,C20)&gt;=1,"YES","NO")</f>
        <v>YES</v>
      </c>
      <c r="F20" s="4" t="str">
        <f aca="false">IFERROR(__xludf.dummyfunction("""COMPUTED_VALUE"""),"maven::repo::(codehaus)")</f>
        <v>maven::repo::(codehaus)</v>
      </c>
      <c r="G20" s="4" t="str">
        <f aca="false">IFERROR(__xludf.dummyfunction("""COMPUTED_VALUE"""),"readme")</f>
        <v>readme</v>
      </c>
      <c r="H20" s="4" t="str">
        <f aca="false">IFERROR(__xludf.dummyfunction("""COMPUTED_VALUE"""),"nose")</f>
        <v>nose</v>
      </c>
    </row>
    <row r="21" customFormat="false" ht="15.75" hidden="false" customHeight="false" outlineLevel="0" collapsed="false">
      <c r="A21" s="3" t="s">
        <v>1324</v>
      </c>
      <c r="B21" s="3" t="str">
        <f aca="false">IF(COUNTIF(Final_CB_B1_V5!$B$2:$B$527,A21)&gt;=1,"YES","NO")</f>
        <v>YES</v>
      </c>
      <c r="C21" s="3" t="s">
        <v>1325</v>
      </c>
      <c r="D21" s="3" t="str">
        <f aca="false">IF(COUNTIF(Final_CB_B1_V5!$C$2:$C$527,C21)&gt;=1,"YES","NO")</f>
        <v>YES</v>
      </c>
      <c r="F21" s="4" t="str">
        <f aca="false">IFERROR(__xludf.dummyfunction("""COMPUTED_VALUE"""),"maven::repo::(googlecode)")</f>
        <v>maven::repo::(googlecode)</v>
      </c>
      <c r="G21" s="4" t="str">
        <f aca="false">IFERROR(__xludf.dummyfunction("""COMPUTED_VALUE"""),"regression::test::check::(automated)")</f>
        <v>regression::test::check::(automated)</v>
      </c>
      <c r="H21" s="4" t="str">
        <f aca="false">IFERROR(__xludf.dummyfunction("""COMPUTED_VALUE"""),"randomized::testing::(carrot)")</f>
        <v>randomized::testing::(carrot)</v>
      </c>
    </row>
    <row r="22" customFormat="false" ht="15.75" hidden="false" customHeight="false" outlineLevel="0" collapsed="false">
      <c r="A22" s="3" t="s">
        <v>1326</v>
      </c>
      <c r="B22" s="3" t="str">
        <f aca="false">IF(COUNTIF(Final_CB_B1_V5!$B$2:$B$527,A22)&gt;=1,"YES","NO")</f>
        <v>YES</v>
      </c>
      <c r="C22" s="3" t="s">
        <v>1327</v>
      </c>
      <c r="D22" s="3" t="str">
        <f aca="false">IF(COUNTIF(Final_CB_B1_V5!$C$2:$C$527,C22)&gt;=1,"YES","NO")</f>
        <v>YES</v>
      </c>
      <c r="F22" s="4" t="str">
        <f aca="false">IFERROR(__xludf.dummyfunction("""COMPUTED_VALUE"""),"maven::repo::(java)")</f>
        <v>maven::repo::(java)</v>
      </c>
      <c r="G22" s="4" t="str">
        <f aca="false">IFERROR(__xludf.dummyfunction("""COMPUTED_VALUE"""),"requirements::txt")</f>
        <v>requirements::txt</v>
      </c>
      <c r="H22" s="4" t="str">
        <f aca="false">IFERROR(__xludf.dummyfunction("""COMPUTED_VALUE"""),"SIGAR")</f>
        <v>SIGAR</v>
      </c>
    </row>
    <row r="23" customFormat="false" ht="15.75" hidden="false" customHeight="false" outlineLevel="0" collapsed="false">
      <c r="A23" s="3" t="s">
        <v>1328</v>
      </c>
      <c r="B23" s="3" t="str">
        <f aca="false">IF(COUNTIF(Final_CB_B1_V5!$B$2:$B$527,A23)&gt;=1,"YES","NO")</f>
        <v>YES</v>
      </c>
      <c r="C23" s="3" t="s">
        <v>1329</v>
      </c>
      <c r="D23" s="3" t="str">
        <f aca="false">IF(COUNTIF(Final_CB_B1_V5!$C$2:$C$527,C23)&gt;=1,"YES","NO")</f>
        <v>YES</v>
      </c>
      <c r="F23" s="4" t="str">
        <f aca="false">IFERROR(__xludf.dummyfunction("""COMPUTED_VALUE"""),"maven::repo::(jboss)")</f>
        <v>maven::repo::(jboss)</v>
      </c>
      <c r="G23" s="4" t="str">
        <f aca="false">IFERROR(__xludf.dummyfunction("""COMPUTED_VALUE"""),"requirements::txt::(test)")</f>
        <v>requirements::txt::(test)</v>
      </c>
      <c r="H23" s="4" t="str">
        <f aca="false">IFERROR(__xludf.dummyfunction("""COMPUTED_VALUE"""),"slf4j")</f>
        <v>slf4j</v>
      </c>
    </row>
    <row r="24" customFormat="false" ht="15.75" hidden="false" customHeight="false" outlineLevel="0" collapsed="false">
      <c r="A24" s="3" t="s">
        <v>1329</v>
      </c>
      <c r="B24" s="3" t="str">
        <f aca="false">IF(COUNTIF(Final_CB_B1_V5!$B$2:$B$527,A24)&gt;=1,"YES","NO")</f>
        <v>YES</v>
      </c>
      <c r="C24" s="3" t="s">
        <v>1330</v>
      </c>
      <c r="D24" s="3" t="str">
        <f aca="false">IF(COUNTIF(Final_CB_B1_V5!$C$2:$C$527,C24)&gt;=1,"YES","NO")</f>
        <v>YES</v>
      </c>
      <c r="F24" s="4" t="str">
        <f aca="false">IFERROR(__xludf.dummyfunction("""COMPUTED_VALUE"""),"maven::repo::(maven::central)")</f>
        <v>maven::repo::(maven::central)</v>
      </c>
      <c r="G24" s="4" t="str">
        <f aca="false">IFERROR(__xludf.dummyfunction("""COMPUTED_VALUE"""),"SmokeStack::CI")</f>
        <v>SmokeStack::CI</v>
      </c>
      <c r="H24" s="4" t="str">
        <f aca="false">IFERROR(__xludf.dummyfunction("""COMPUTED_VALUE"""),"Smoketests::CI")</f>
        <v>Smoketests::CI</v>
      </c>
    </row>
    <row r="25" customFormat="false" ht="15.75" hidden="false" customHeight="false" outlineLevel="0" collapsed="false">
      <c r="A25" s="3" t="s">
        <v>1331</v>
      </c>
      <c r="B25" s="3" t="str">
        <f aca="false">IF(COUNTIF(Final_CB_B1_V5!$B$2:$B$527,A25)&gt;=1,"YES","NO")</f>
        <v>YES</v>
      </c>
      <c r="C25" s="3" t="s">
        <v>1331</v>
      </c>
      <c r="D25" s="3" t="str">
        <f aca="false">IF(COUNTIF(Final_CB_B1_V5!$C$2:$C$527,C25)&gt;=1,"YES","NO")</f>
        <v>YES</v>
      </c>
      <c r="F25" s="4" t="str">
        <f aca="false">IFERROR(__xludf.dummyfunction("""COMPUTED_VALUE"""),"maven::repo::(sonatype)")</f>
        <v>maven::repo::(sonatype)</v>
      </c>
      <c r="G25" s="4" t="str">
        <f aca="false">IFERROR(__xludf.dummyfunction("""COMPUTED_VALUE"""),"testr::(coverage)")</f>
        <v>testr::(coverage)</v>
      </c>
      <c r="H25" s="4" t="str">
        <f aca="false">IFERROR(__xludf.dummyfunction("""COMPUTED_VALUE"""),"Tempest")</f>
        <v>Tempest</v>
      </c>
    </row>
    <row r="26" customFormat="false" ht="15.75" hidden="false" customHeight="false" outlineLevel="0" collapsed="false">
      <c r="A26" s="3" t="s">
        <v>1332</v>
      </c>
      <c r="B26" s="3" t="str">
        <f aca="false">IF(COUNTIF(Final_CB_B1_V5!$B$2:$B$527,A26)&gt;=1,"YES","NO")</f>
        <v>YES</v>
      </c>
      <c r="C26" s="3" t="s">
        <v>1332</v>
      </c>
      <c r="D26" s="3" t="str">
        <f aca="false">IF(COUNTIF(Final_CB_B1_V5!$C$2:$C$527,C26)&gt;=1,"YES","NO")</f>
        <v>YES</v>
      </c>
      <c r="F26" s="4" t="str">
        <f aca="false">IFERROR(__xludf.dummyfunction("""COMPUTED_VALUE"""),"micro-benchmark")</f>
        <v>micro-benchmark</v>
      </c>
      <c r="G26" s="4" t="str">
        <f aca="false">IFERROR(__xludf.dummyfunction("""COMPUTED_VALUE"""),"testr::(unit::test)")</f>
        <v>testr::(unit::test)</v>
      </c>
      <c r="H26" s="4" t="str">
        <f aca="false">IFERROR(__xludf.dummyfunction("""COMPUTED_VALUE"""),"Testools")</f>
        <v>Testools</v>
      </c>
    </row>
    <row r="27" customFormat="false" ht="15.75" hidden="false" customHeight="false" outlineLevel="0" collapsed="false">
      <c r="A27" s="3" t="s">
        <v>1333</v>
      </c>
      <c r="B27" s="3" t="str">
        <f aca="false">IF(COUNTIF(Final_CB_B1_V5!$B$2:$B$527,A27)&gt;=1,"YES","NO")</f>
        <v>YES</v>
      </c>
      <c r="C27" s="3" t="s">
        <v>1333</v>
      </c>
      <c r="D27" s="3" t="str">
        <f aca="false">IF(COUNTIF(Final_CB_B1_V5!$C$2:$C$527,C27)&gt;=1,"YES","NO")</f>
        <v>YES</v>
      </c>
      <c r="F27" s="4" t="str">
        <f aca="false">IFERROR(__xludf.dummyfunction("""COMPUTED_VALUE"""),"Microsoft::Hyper-V::CI")</f>
        <v>Microsoft::Hyper-V::CI</v>
      </c>
      <c r="G27" s="4" t="str">
        <f aca="false">IFERROR(__xludf.dummyfunction("""COMPUTED_VALUE"""),"testtools::(unit::test::debugging)")</f>
        <v>testtools::(unit::test::debugging)</v>
      </c>
      <c r="H27" s="4" t="str">
        <f aca="false">IFERROR(__xludf.dummyfunction("""COMPUTED_VALUE"""),"Testrepository*")</f>
        <v>Testrepository*</v>
      </c>
    </row>
    <row r="28" customFormat="false" ht="15.75" hidden="false" customHeight="false" outlineLevel="0" collapsed="false">
      <c r="A28" s="3" t="s">
        <v>1334</v>
      </c>
      <c r="B28" s="3" t="str">
        <f aca="false">IF(COUNTIF(Final_CB_B1_V5!$B$2:$B$527,A28)&gt;=1,"YES","NO")</f>
        <v>YES</v>
      </c>
      <c r="C28" s="3" t="s">
        <v>1334</v>
      </c>
      <c r="D28" s="3" t="str">
        <f aca="false">IF(COUNTIF(Final_CB_B1_V5!$C$2:$C$527,C28)&gt;=1,"YES","NO")</f>
        <v>YES</v>
      </c>
      <c r="F28" s="4" t="str">
        <f aca="false">IFERROR(__xludf.dummyfunction("""COMPUTED_VALUE"""),"pep8")</f>
        <v>pep8</v>
      </c>
      <c r="G28" s="4" t="str">
        <f aca="false">IFERROR(__xludf.dummyfunction("""COMPUTED_VALUE"""),"Tox::(testenv)")</f>
        <v>Tox::(testenv)</v>
      </c>
      <c r="H28" s="4" t="str">
        <f aca="false">IFERROR(__xludf.dummyfunction("""COMPUTED_VALUE"""),"Unittest")</f>
        <v>Unittest</v>
      </c>
    </row>
    <row r="29" customFormat="false" ht="15.75" hidden="false" customHeight="false" outlineLevel="0" collapsed="false">
      <c r="A29" s="3" t="s">
        <v>1335</v>
      </c>
      <c r="B29" s="3" t="str">
        <f aca="false">IF(COUNTIF(Final_CB_B1_V5!$B$2:$B$527,A29)&gt;=1,"YES","NO")</f>
        <v>YES</v>
      </c>
      <c r="C29" s="3" t="s">
        <v>1336</v>
      </c>
      <c r="D29" s="3" t="str">
        <f aca="false">IF(COUNTIF(Final_CB_B1_V5!$C$2:$C$527,C29)&gt;=1,"YES","NO")</f>
        <v>YES</v>
      </c>
      <c r="F29" s="4" t="str">
        <f aca="false">IFERROR(__xludf.dummyfunction("""COMPUTED_VALUE"""),"pip")</f>
        <v>pip</v>
      </c>
      <c r="G29" s="4" t="str">
        <f aca="false">IFERROR(__xludf.dummyfunction("""COMPUTED_VALUE"""),"unittest::(unit::test)")</f>
        <v>unittest::(unit::test)</v>
      </c>
      <c r="H29" s="4" t="str">
        <f aca="false">IFERROR(__xludf.dummyfunction("""COMPUTED_VALUE"""),"Virtualenv")</f>
        <v>Virtualenv</v>
      </c>
    </row>
    <row r="30" customFormat="false" ht="15.75" hidden="false" customHeight="false" outlineLevel="0" collapsed="false">
      <c r="A30" s="3" t="s">
        <v>1336</v>
      </c>
      <c r="B30" s="3" t="str">
        <f aca="false">IF(COUNTIF(Final_CB_B1_V5!$B$2:$B$527,A30)&gt;=1,"YES","NO")</f>
        <v>YES</v>
      </c>
      <c r="C30" s="3" t="s">
        <v>1337</v>
      </c>
      <c r="D30" s="3" t="str">
        <f aca="false">IF(COUNTIF(Final_CB_B1_V5!$C$2:$C$527,C30)&gt;=1,"YES","NO")</f>
        <v>YES</v>
      </c>
      <c r="F30" s="4" t="str">
        <f aca="false">IFERROR(__xludf.dummyfunction("""COMPUTED_VALUE"""),"pre::commit::hooks::(run::unit::tests)")</f>
        <v>pre::commit::hooks::(run::unit::tests)</v>
      </c>
      <c r="G30" s="4" t="str">
        <f aca="false">IFERROR(__xludf.dummyfunction("""COMPUTED_VALUE"""),"venv")</f>
        <v>venv</v>
      </c>
      <c r="H30" s="4"/>
    </row>
    <row r="31" customFormat="false" ht="15.75" hidden="false" customHeight="false" outlineLevel="0" collapsed="false">
      <c r="A31" s="3" t="s">
        <v>1338</v>
      </c>
      <c r="B31" s="3" t="str">
        <f aca="false">IF(COUNTIF(Final_CB_B1_V5!$B$2:$B$527,A31)&gt;=1,"YES","NO")</f>
        <v>YES</v>
      </c>
      <c r="C31" s="3" t="s">
        <v>1339</v>
      </c>
      <c r="D31" s="3" t="str">
        <f aca="false">IF(COUNTIF(Final_CB_B1_V5!$C$2:$C$527,C31)&gt;=1,"YES","NO")</f>
        <v>YES</v>
      </c>
      <c r="F31" s="4" t="str">
        <f aca="false">IFERROR(__xludf.dummyfunction("""COMPUTED_VALUE"""),"Pylint")</f>
        <v>Pylint</v>
      </c>
      <c r="G31" s="4" t="str">
        <f aca="false">IFERROR(__xludf.dummyfunction("""COMPUTED_VALUE"""),"XenProject::CI")</f>
        <v>XenProject::CI</v>
      </c>
      <c r="H31" s="4"/>
    </row>
    <row r="32" customFormat="false" ht="15.75" hidden="false" customHeight="false" outlineLevel="0" collapsed="false">
      <c r="A32" s="3" t="s">
        <v>1340</v>
      </c>
      <c r="B32" s="3" t="str">
        <f aca="false">IF(COUNTIF(Final_CB_B1_V5!$B$2:$B$527,A32)&gt;=1,"YES","NO")</f>
        <v>YES</v>
      </c>
      <c r="C32" s="3" t="s">
        <v>1341</v>
      </c>
      <c r="D32" s="3" t="str">
        <f aca="false">IF(COUNTIF(Final_CB_B1_V5!$C$2:$C$527,C32)&gt;=1,"YES","NO")</f>
        <v>YES</v>
      </c>
      <c r="F32" s="4" t="str">
        <f aca="false">IFERROR(__xludf.dummyfunction("""COMPUTED_VALUE"""),"Setuptools")</f>
        <v>Setuptools</v>
      </c>
      <c r="G32" s="4"/>
      <c r="H32" s="4"/>
    </row>
    <row r="33" customFormat="false" ht="15.75" hidden="false" customHeight="false" outlineLevel="0" collapsed="false">
      <c r="A33" s="3" t="s">
        <v>1342</v>
      </c>
      <c r="B33" s="3" t="str">
        <f aca="false">IF(COUNTIF(Final_CB_B1_V5!$B$2:$B$527,A33)&gt;=1,"YES","NO")</f>
        <v>YES</v>
      </c>
      <c r="C33" s="3" t="s">
        <v>1343</v>
      </c>
      <c r="D33" s="3" t="str">
        <f aca="false">IF(COUNTIF(Final_CB_B1_V5!$C$2:$C$527,C33)&gt;=1,"YES","NO")</f>
        <v>YES</v>
      </c>
      <c r="F33" s="4" t="str">
        <f aca="false">IFERROR(__xludf.dummyfunction("""COMPUTED_VALUE"""),"smoketests")</f>
        <v>smoketests</v>
      </c>
      <c r="G33" s="4"/>
      <c r="H33" s="4"/>
    </row>
    <row r="34" customFormat="false" ht="15.75" hidden="false" customHeight="false" outlineLevel="0" collapsed="false">
      <c r="A34" s="3" t="s">
        <v>1344</v>
      </c>
      <c r="B34" s="3" t="str">
        <f aca="false">IF(COUNTIF(Final_CB_B1_V5!$B$2:$B$527,A34)&gt;=1,"YES","NO")</f>
        <v>YES</v>
      </c>
      <c r="C34" s="3" t="s">
        <v>1345</v>
      </c>
      <c r="D34" s="3" t="str">
        <f aca="false">IF(COUNTIF(Final_CB_B1_V5!$C$2:$C$527,C34)&gt;=1,"YES","NO")</f>
        <v>YES</v>
      </c>
      <c r="F34" s="4" t="str">
        <f aca="false">IFERROR(__xludf.dummyfunction("""COMPUTED_VALUE"""),"Sphinx")</f>
        <v>Sphinx</v>
      </c>
      <c r="G34" s="4"/>
      <c r="H34" s="4"/>
    </row>
    <row r="35" customFormat="false" ht="15.75" hidden="false" customHeight="false" outlineLevel="0" collapsed="false">
      <c r="A35" s="3" t="s">
        <v>1346</v>
      </c>
      <c r="B35" s="3" t="str">
        <f aca="false">IF(COUNTIF(Final_CB_B1_V5!$B$2:$B$527,A35)&gt;=1,"YES","NO")</f>
        <v>YES</v>
      </c>
      <c r="C35" s="3" t="s">
        <v>1338</v>
      </c>
      <c r="D35" s="3" t="str">
        <f aca="false">IF(COUNTIF(Final_CB_B1_V5!$C$2:$C$527,C35)&gt;=1,"YES","NO")</f>
        <v>YES</v>
      </c>
      <c r="F35" s="4" t="str">
        <f aca="false">IFERROR(__xludf.dummyfunction("""COMPUTED_VALUE"""),"testng")</f>
        <v>testng</v>
      </c>
      <c r="G35" s="4"/>
      <c r="H35" s="4"/>
    </row>
    <row r="36" customFormat="false" ht="15.75" hidden="false" customHeight="false" outlineLevel="0" collapsed="false">
      <c r="A36" s="3" t="s">
        <v>1347</v>
      </c>
      <c r="B36" s="3" t="str">
        <f aca="false">IF(COUNTIF(Final_CB_B1_V5!$B$2:$B$527,A36)&gt;=1,"YES","NO")</f>
        <v>YES</v>
      </c>
      <c r="C36" s="3" t="s">
        <v>1342</v>
      </c>
      <c r="D36" s="3" t="str">
        <f aca="false">IF(COUNTIF(Final_CB_B1_V5!$C$2:$C$527,C36)&gt;=1,"YES","NO")</f>
        <v>YES</v>
      </c>
      <c r="F36" s="4" t="str">
        <f aca="false">IFERROR(__xludf.dummyfunction("""COMPUTED_VALUE"""),"Tox")</f>
        <v>Tox</v>
      </c>
      <c r="G36" s="4"/>
      <c r="H36" s="4"/>
    </row>
    <row r="37" customFormat="false" ht="15.75" hidden="false" customHeight="false" outlineLevel="0" collapsed="false">
      <c r="A37" s="3" t="s">
        <v>1348</v>
      </c>
      <c r="B37" s="3" t="str">
        <f aca="false">IF(COUNTIF(Final_CB_B1_V5!$B$2:$B$527,A37)&gt;=1,"YES","NO")</f>
        <v>YES</v>
      </c>
      <c r="C37" s="3" t="s">
        <v>1344</v>
      </c>
      <c r="D37" s="3" t="str">
        <f aca="false">IF(COUNTIF(Final_CB_B1_V5!$C$2:$C$527,C37)&gt;=1,"YES","NO")</f>
        <v>YES</v>
      </c>
      <c r="F37" s="4" t="str">
        <f aca="false">IFERROR(__xludf.dummyfunction("""COMPUTED_VALUE"""),"travis::CI")</f>
        <v>travis::CI</v>
      </c>
      <c r="G37" s="4"/>
      <c r="H37" s="4"/>
    </row>
    <row r="38" customFormat="false" ht="15.75" hidden="false" customHeight="false" outlineLevel="0" collapsed="false">
      <c r="A38" s="3" t="s">
        <v>1349</v>
      </c>
      <c r="B38" s="3" t="str">
        <f aca="false">IF(COUNTIF(Final_CB_B1_V5!$B$2:$B$527,A38)&gt;=1,"YES","NO")</f>
        <v>YES</v>
      </c>
      <c r="C38" s="3" t="s">
        <v>1346</v>
      </c>
      <c r="D38" s="3" t="str">
        <f aca="false">IF(COUNTIF(Final_CB_B1_V5!$C$2:$C$527,C38)&gt;=1,"YES","NO")</f>
        <v>YES</v>
      </c>
      <c r="F38" s="4" t="str">
        <f aca="false">IFERROR(__xludf.dummyfunction("""COMPUTED_VALUE"""),"Twissted*")</f>
        <v>Twissted*</v>
      </c>
      <c r="G38" s="4"/>
      <c r="H38" s="4"/>
    </row>
    <row r="39" customFormat="false" ht="15.75" hidden="false" customHeight="false" outlineLevel="0" collapsed="false">
      <c r="A39" s="3" t="s">
        <v>1350</v>
      </c>
      <c r="B39" s="3" t="str">
        <f aca="false">IF(COUNTIF(Final_CB_B1_V5!$B$2:$B$527,A39)&gt;=1,"YES","NO")</f>
        <v>YES</v>
      </c>
      <c r="C39" s="3" t="s">
        <v>1347</v>
      </c>
      <c r="D39" s="3" t="str">
        <f aca="false">IF(COUNTIF(Final_CB_B1_V5!$C$2:$C$527,C39)&gt;=1,"YES","NO")</f>
        <v>YES</v>
      </c>
      <c r="F39" s="4" t="str">
        <f aca="false">IFERROR(__xludf.dummyfunction("""COMPUTED_VALUE"""),"vagrant")</f>
        <v>vagrant</v>
      </c>
      <c r="G39" s="4"/>
      <c r="H39" s="4"/>
    </row>
    <row r="40" customFormat="false" ht="15.75" hidden="false" customHeight="false" outlineLevel="0" collapsed="false">
      <c r="A40" s="3" t="s">
        <v>1351</v>
      </c>
      <c r="B40" s="3" t="str">
        <f aca="false">IF(COUNTIF(Final_CB_B1_V5!$B$2:$B$527,A40)&gt;=1,"YES","NO")</f>
        <v>YES</v>
      </c>
      <c r="C40" s="3" t="s">
        <v>1348</v>
      </c>
      <c r="D40" s="3" t="str">
        <f aca="false">IF(COUNTIF(Final_CB_B1_V5!$C$2:$C$527,C40)&gt;=1,"YES","NO")</f>
        <v>YES</v>
      </c>
      <c r="F40" s="4" t="str">
        <f aca="false">IFERROR(__xludf.dummyfunction("""COMPUTED_VALUE"""),"VMware::NSX::CI")</f>
        <v>VMware::NSX::CI</v>
      </c>
      <c r="G40" s="4"/>
      <c r="H40" s="4"/>
    </row>
    <row r="41" customFormat="false" ht="15.75" hidden="false" customHeight="false" outlineLevel="0" collapsed="false">
      <c r="A41" s="3" t="s">
        <v>1352</v>
      </c>
      <c r="B41" s="3" t="str">
        <f aca="false">IF(COUNTIF(Final_CB_B1_V5!$B$2:$B$527,A41)&gt;=1,"YES","NO")</f>
        <v>YES</v>
      </c>
      <c r="C41" s="3" t="s">
        <v>1349</v>
      </c>
      <c r="D41" s="3" t="str">
        <f aca="false">IF(COUNTIF(Final_CB_B1_V5!$C$2:$C$527,C41)&gt;=1,"YES","NO")</f>
        <v>YES</v>
      </c>
      <c r="G41" s="4"/>
      <c r="H41" s="4"/>
    </row>
    <row r="42" customFormat="false" ht="15.75" hidden="false" customHeight="false" outlineLevel="0" collapsed="false">
      <c r="A42" s="3" t="s">
        <v>1353</v>
      </c>
      <c r="B42" s="3" t="str">
        <f aca="false">IF(COUNTIF(Final_CB_B1_V5!$B$2:$B$527,A42)&gt;=1,"YES","NO")</f>
        <v>YES</v>
      </c>
      <c r="C42" s="3" t="s">
        <v>1354</v>
      </c>
      <c r="D42" s="3" t="str">
        <f aca="false">IF(COUNTIF(Final_CB_B1_V5!$C$2:$C$527,C42)&gt;=1,"YES","NO")</f>
        <v>YES</v>
      </c>
      <c r="G42" s="4"/>
      <c r="H42" s="4"/>
    </row>
    <row r="43" customFormat="false" ht="15.75" hidden="false" customHeight="false" outlineLevel="0" collapsed="false">
      <c r="A43" s="3" t="s">
        <v>1355</v>
      </c>
      <c r="B43" s="3" t="str">
        <f aca="false">IF(COUNTIF(Final_CB_B1_V5!$B$2:$B$527,A43)&gt;=1,"YES","NO")</f>
        <v>YES</v>
      </c>
      <c r="C43" s="3" t="s">
        <v>1350</v>
      </c>
      <c r="D43" s="3" t="str">
        <f aca="false">IF(COUNTIF(Final_CB_B1_V5!$C$2:$C$527,C43)&gt;=1,"YES","NO")</f>
        <v>YES</v>
      </c>
      <c r="G43" s="4"/>
      <c r="H43" s="4"/>
    </row>
    <row r="44" customFormat="false" ht="15.75" hidden="false" customHeight="false" outlineLevel="0" collapsed="false">
      <c r="A44" s="3" t="s">
        <v>1356</v>
      </c>
      <c r="B44" s="3" t="str">
        <f aca="false">IF(COUNTIF(Final_CB_B1_V5!$B$2:$B$527,A44)&gt;=1,"YES","NO")</f>
        <v>YES</v>
      </c>
      <c r="C44" s="3" t="s">
        <v>1351</v>
      </c>
      <c r="D44" s="3" t="str">
        <f aca="false">IF(COUNTIF(Final_CB_B1_V5!$C$2:$C$527,C44)&gt;=1,"YES","NO")</f>
        <v>YES</v>
      </c>
      <c r="G44" s="4"/>
      <c r="H44" s="4"/>
    </row>
    <row r="45" customFormat="false" ht="15.75" hidden="false" customHeight="false" outlineLevel="0" collapsed="false">
      <c r="A45" s="3" t="s">
        <v>1357</v>
      </c>
      <c r="B45" s="3" t="str">
        <f aca="false">IF(COUNTIF(Final_CB_B1_V5!$B$2:$B$527,A45)&gt;=1,"YES","NO")</f>
        <v>YES</v>
      </c>
      <c r="C45" s="3" t="s">
        <v>1358</v>
      </c>
      <c r="D45" s="3" t="str">
        <f aca="false">IF(COUNTIF(Final_CB_B1_V5!$C$2:$C$527,C45)&gt;=1,"YES","NO")</f>
        <v>YES</v>
      </c>
      <c r="G45" s="4"/>
      <c r="H45" s="4"/>
    </row>
    <row r="46" customFormat="false" ht="15.75" hidden="false" customHeight="false" outlineLevel="0" collapsed="false">
      <c r="A46" s="3" t="s">
        <v>1359</v>
      </c>
      <c r="B46" s="3" t="str">
        <f aca="false">IF(COUNTIF(Final_CB_B1_V5!$B$2:$B$527,A46)&gt;=1,"YES","NO")</f>
        <v>YES</v>
      </c>
      <c r="C46" s="3" t="s">
        <v>1360</v>
      </c>
      <c r="D46" s="3" t="str">
        <f aca="false">IF(COUNTIF(Final_CB_B1_V5!$C$2:$C$527,C46)&gt;=1,"YES","NO")</f>
        <v>YES</v>
      </c>
      <c r="G46" s="4"/>
      <c r="H46" s="4"/>
    </row>
    <row r="47" customFormat="false" ht="15.75" hidden="false" customHeight="false" outlineLevel="0" collapsed="false">
      <c r="A47" s="3" t="s">
        <v>1361</v>
      </c>
      <c r="B47" s="3" t="str">
        <f aca="false">IF(COUNTIF(Final_CB_B1_V5!$B$2:$B$527,A47)&gt;=1,"YES","NO")</f>
        <v>YES</v>
      </c>
      <c r="C47" s="3" t="s">
        <v>1356</v>
      </c>
      <c r="D47" s="3" t="str">
        <f aca="false">IF(COUNTIF(Final_CB_B1_V5!$C$2:$C$527,C47)&gt;=1,"YES","NO")</f>
        <v>YES</v>
      </c>
      <c r="G47" s="4"/>
      <c r="H47" s="4"/>
    </row>
    <row r="48" customFormat="false" ht="15.75" hidden="false" customHeight="false" outlineLevel="0" collapsed="false">
      <c r="A48" s="3" t="s">
        <v>1362</v>
      </c>
      <c r="B48" s="3" t="str">
        <f aca="false">IF(COUNTIF(Final_CB_B1_V5!$B$2:$B$527,A48)&gt;=1,"YES","NO")</f>
        <v>YES</v>
      </c>
      <c r="C48" s="3" t="s">
        <v>1359</v>
      </c>
      <c r="D48" s="3" t="str">
        <f aca="false">IF(COUNTIF(Final_CB_B1_V5!$C$2:$C$527,C48)&gt;=1,"YES","NO")</f>
        <v>YES</v>
      </c>
      <c r="G48" s="4"/>
      <c r="H48" s="4"/>
    </row>
    <row r="49" customFormat="false" ht="15.75" hidden="false" customHeight="false" outlineLevel="0" collapsed="false">
      <c r="A49" s="3" t="s">
        <v>1363</v>
      </c>
      <c r="B49" s="3" t="str">
        <f aca="false">IF(COUNTIF(Final_CB_B1_V5!$B$2:$B$527,A49)&gt;=1,"YES","NO")</f>
        <v>YES</v>
      </c>
      <c r="C49" s="3" t="s">
        <v>1361</v>
      </c>
      <c r="D49" s="3" t="str">
        <f aca="false">IF(COUNTIF(Final_CB_B1_V5!$C$2:$C$527,C49)&gt;=1,"YES","NO")</f>
        <v>YES</v>
      </c>
      <c r="G49" s="4"/>
      <c r="H49" s="4"/>
    </row>
    <row r="50" customFormat="false" ht="15.75" hidden="false" customHeight="false" outlineLevel="0" collapsed="false">
      <c r="A50" s="3" t="s">
        <v>1364</v>
      </c>
      <c r="B50" s="3" t="str">
        <f aca="false">IF(COUNTIF(Final_CB_B1_V5!$B$2:$B$527,A50)&gt;=1,"YES","NO")</f>
        <v>YES</v>
      </c>
      <c r="C50" s="3" t="s">
        <v>1363</v>
      </c>
      <c r="D50" s="3" t="str">
        <f aca="false">IF(COUNTIF(Final_CB_B1_V5!$C$2:$C$527,C50)&gt;=1,"YES","NO")</f>
        <v>YES</v>
      </c>
      <c r="G50" s="4"/>
      <c r="H50" s="4"/>
    </row>
    <row r="51" customFormat="false" ht="15.75" hidden="false" customHeight="false" outlineLevel="0" collapsed="false">
      <c r="A51" s="3" t="s">
        <v>1365</v>
      </c>
      <c r="B51" s="3" t="str">
        <f aca="false">IF(COUNTIF(Final_CB_B1_V5!$B$2:$B$527,A51)&gt;=1,"YES","NO")</f>
        <v>YES</v>
      </c>
      <c r="C51" s="3" t="s">
        <v>1366</v>
      </c>
      <c r="D51" s="3" t="str">
        <f aca="false">IF(COUNTIF(Final_CB_B1_V5!$C$2:$C$527,C51)&gt;=1,"YES","NO")</f>
        <v>YES</v>
      </c>
      <c r="G51" s="4"/>
      <c r="H51" s="4"/>
    </row>
    <row r="52" customFormat="false" ht="15.75" hidden="false" customHeight="false" outlineLevel="0" collapsed="false">
      <c r="A52" s="3" t="s">
        <v>1367</v>
      </c>
      <c r="B52" s="3" t="str">
        <f aca="false">IF(COUNTIF(Final_CB_B1_V5!$B$2:$B$527,A52)&gt;=1,"YES","NO")</f>
        <v>YES</v>
      </c>
      <c r="C52" s="3" t="s">
        <v>1368</v>
      </c>
      <c r="D52" s="3" t="str">
        <f aca="false">IF(COUNTIF(Final_CB_B1_V5!$C$2:$C$527,C52)&gt;=1,"YES","NO")</f>
        <v>YES</v>
      </c>
      <c r="G52" s="4"/>
      <c r="H52" s="4"/>
    </row>
    <row r="53" customFormat="false" ht="15.75" hidden="false" customHeight="false" outlineLevel="0" collapsed="false">
      <c r="A53" s="3" t="s">
        <v>1369</v>
      </c>
      <c r="B53" s="3" t="str">
        <f aca="false">IF(COUNTIF(Final_CB_B1_V5!$B$2:$B$527,A53)&gt;=1,"YES","NO")</f>
        <v>YES</v>
      </c>
      <c r="C53" s="3" t="s">
        <v>1370</v>
      </c>
      <c r="D53" s="3" t="str">
        <f aca="false">IF(COUNTIF(Final_CB_B1_V5!$C$2:$C$527,C53)&gt;=1,"YES","NO")</f>
        <v>YES</v>
      </c>
      <c r="G53" s="4"/>
      <c r="H53" s="4"/>
    </row>
    <row r="54" customFormat="false" ht="15.75" hidden="false" customHeight="false" outlineLevel="0" collapsed="false">
      <c r="A54" s="3" t="s">
        <v>1368</v>
      </c>
      <c r="B54" s="3" t="str">
        <f aca="false">IF(COUNTIF(Final_CB_B1_V5!$B$2:$B$527,A54)&gt;=1,"YES","NO")</f>
        <v>YES</v>
      </c>
      <c r="C54" s="3" t="s">
        <v>1371</v>
      </c>
      <c r="D54" s="3" t="str">
        <f aca="false">IF(COUNTIF(Final_CB_B1_V5!$C$2:$C$527,C54)&gt;=1,"YES","NO")</f>
        <v>YES</v>
      </c>
      <c r="G54" s="4"/>
      <c r="H54" s="4"/>
    </row>
    <row r="55" customFormat="false" ht="15.75" hidden="false" customHeight="false" outlineLevel="0" collapsed="false">
      <c r="A55" s="3" t="s">
        <v>1372</v>
      </c>
      <c r="B55" s="3" t="str">
        <f aca="false">IF(COUNTIF(Final_CB_B1_V5!$B$2:$B$527,A55)&gt;=1,"YES","NO")</f>
        <v>YES</v>
      </c>
      <c r="C55" s="3" t="s">
        <v>1373</v>
      </c>
      <c r="D55" s="3" t="str">
        <f aca="false">IF(COUNTIF(Final_CB_B1_V5!$C$2:$C$527,C55)&gt;=1,"YES","NO")</f>
        <v>YES</v>
      </c>
      <c r="G55" s="4"/>
      <c r="H55" s="4"/>
    </row>
    <row r="56" customFormat="false" ht="15.75" hidden="false" customHeight="false" outlineLevel="0" collapsed="false">
      <c r="A56" s="3" t="s">
        <v>1373</v>
      </c>
      <c r="B56" s="3" t="str">
        <f aca="false">IF(COUNTIF(Final_CB_B1_V5!$B$2:$B$527,A56)&gt;=1,"YES","NO")</f>
        <v>YES</v>
      </c>
      <c r="C56" s="3" t="s">
        <v>1374</v>
      </c>
      <c r="D56" s="3" t="str">
        <f aca="false">IF(COUNTIF(Final_CB_B1_V5!$C$2:$C$527,C56)&gt;=1,"YES","NO")</f>
        <v>YES</v>
      </c>
      <c r="G56" s="4"/>
      <c r="H56" s="4"/>
    </row>
    <row r="57" customFormat="false" ht="15.75" hidden="false" customHeight="false" outlineLevel="0" collapsed="false">
      <c r="A57" s="3" t="s">
        <v>1375</v>
      </c>
      <c r="B57" s="3" t="str">
        <f aca="false">IF(COUNTIF(Final_CB_B1_V5!$B$2:$B$527,A57)&gt;=1,"YES","NO")</f>
        <v>YES</v>
      </c>
      <c r="C57" s="3" t="s">
        <v>1375</v>
      </c>
      <c r="D57" s="3" t="str">
        <f aca="false">IF(COUNTIF(Final_CB_B1_V5!$C$2:$C$527,C57)&gt;=1,"YES","NO")</f>
        <v>YES</v>
      </c>
      <c r="G57" s="4"/>
      <c r="H57" s="4"/>
    </row>
    <row r="58" customFormat="false" ht="15.75" hidden="false" customHeight="false" outlineLevel="0" collapsed="false">
      <c r="A58" s="3" t="s">
        <v>1376</v>
      </c>
      <c r="B58" s="3" t="str">
        <f aca="false">IF(COUNTIF(Final_CB_B1_V5!$B$2:$B$527,A58)&gt;=1,"YES","NO")</f>
        <v>YES</v>
      </c>
      <c r="C58" s="3" t="s">
        <v>1377</v>
      </c>
      <c r="D58" s="3" t="str">
        <f aca="false">IF(COUNTIF(Final_CB_B1_V5!$C$2:$C$527,C58)&gt;=1,"YES","NO")</f>
        <v>YES</v>
      </c>
      <c r="G58" s="4"/>
      <c r="H58" s="4"/>
    </row>
    <row r="59" customFormat="false" ht="15.75" hidden="false" customHeight="false" outlineLevel="0" collapsed="false">
      <c r="A59" s="3" t="s">
        <v>1378</v>
      </c>
      <c r="B59" s="3" t="str">
        <f aca="false">IF(COUNTIF(Final_CB_B1_V5!$B$2:$B$527,A59)&gt;=1,"YES","NO")</f>
        <v>YES</v>
      </c>
      <c r="C59" s="3" t="s">
        <v>1376</v>
      </c>
      <c r="D59" s="3" t="str">
        <f aca="false">IF(COUNTIF(Final_CB_B1_V5!$C$2:$C$527,C59)&gt;=1,"YES","NO")</f>
        <v>YES</v>
      </c>
      <c r="G59" s="4"/>
      <c r="H59" s="4"/>
    </row>
    <row r="60" customFormat="false" ht="15.75" hidden="false" customHeight="false" outlineLevel="0" collapsed="false">
      <c r="A60" s="3" t="s">
        <v>1379</v>
      </c>
      <c r="B60" s="3" t="str">
        <f aca="false">IF(COUNTIF(Final_CB_B1_V5!$B$2:$B$527,A60)&gt;=1,"YES","NO")</f>
        <v>YES</v>
      </c>
      <c r="C60" s="3" t="s">
        <v>1380</v>
      </c>
      <c r="D60" s="3" t="str">
        <f aca="false">IF(COUNTIF(Final_CB_B1_V5!$C$2:$C$527,C60)&gt;=1,"YES","NO")</f>
        <v>YES</v>
      </c>
      <c r="G60" s="4"/>
      <c r="H60" s="4"/>
    </row>
    <row r="61" customFormat="false" ht="15.75" hidden="false" customHeight="false" outlineLevel="0" collapsed="false">
      <c r="A61" s="3" t="s">
        <v>1381</v>
      </c>
      <c r="B61" s="3" t="str">
        <f aca="false">IF(COUNTIF(Final_CB_B1_V5!$B$2:$B$527,A61)&gt;=1,"YES","NO")</f>
        <v>YES</v>
      </c>
      <c r="C61" s="3" t="s">
        <v>1382</v>
      </c>
      <c r="D61" s="3" t="str">
        <f aca="false">IF(COUNTIF(Final_CB_B1_V5!$C$2:$C$527,C61)&gt;=1,"YES","NO")</f>
        <v>YES</v>
      </c>
      <c r="G61" s="4"/>
      <c r="H61" s="4"/>
    </row>
    <row r="62" customFormat="false" ht="15.75" hidden="false" customHeight="false" outlineLevel="0" collapsed="false">
      <c r="A62" s="3" t="s">
        <v>1383</v>
      </c>
      <c r="B62" s="3" t="str">
        <f aca="false">IF(COUNTIF(Final_CB_B1_V5!$B$2:$B$527,A62)&gt;=1,"YES","NO")</f>
        <v>YES</v>
      </c>
      <c r="C62" s="3" t="s">
        <v>1383</v>
      </c>
      <c r="D62" s="3" t="str">
        <f aca="false">IF(COUNTIF(Final_CB_B1_V5!$C$2:$C$527,C62)&gt;=1,"YES","NO")</f>
        <v>YES</v>
      </c>
      <c r="G62" s="4"/>
      <c r="H62" s="4"/>
    </row>
    <row r="63" customFormat="false" ht="15.75" hidden="false" customHeight="false" outlineLevel="0" collapsed="false">
      <c r="A63" s="3" t="s">
        <v>1384</v>
      </c>
      <c r="B63" s="3" t="str">
        <f aca="false">IF(COUNTIF(Final_CB_B1_V5!$B$2:$B$527,A63)&gt;=1,"YES","NO")</f>
        <v>YES</v>
      </c>
      <c r="C63" s="3" t="s">
        <v>1385</v>
      </c>
      <c r="D63" s="3" t="str">
        <f aca="false">IF(COUNTIF(Final_CB_B1_V5!$C$2:$C$527,C63)&gt;=1,"YES","NO")</f>
        <v>YES</v>
      </c>
      <c r="G63" s="4"/>
      <c r="H63" s="4"/>
    </row>
    <row r="64" customFormat="false" ht="15.75" hidden="false" customHeight="false" outlineLevel="0" collapsed="false">
      <c r="A64" s="3" t="s">
        <v>1385</v>
      </c>
      <c r="B64" s="3" t="str">
        <f aca="false">IF(COUNTIF(Final_CB_B1_V5!$B$2:$B$527,A64)&gt;=1,"YES","NO")</f>
        <v>YES</v>
      </c>
      <c r="C64" s="3" t="s">
        <v>1386</v>
      </c>
      <c r="D64" s="3" t="str">
        <f aca="false">IF(COUNTIF(Final_CB_B1_V5!$C$2:$C$527,C64)&gt;=1,"YES","NO")</f>
        <v>YES</v>
      </c>
      <c r="G64" s="4"/>
      <c r="H64" s="4"/>
    </row>
    <row r="65" customFormat="false" ht="15.75" hidden="false" customHeight="false" outlineLevel="0" collapsed="false">
      <c r="A65" s="3" t="s">
        <v>1386</v>
      </c>
      <c r="B65" s="3" t="str">
        <f aca="false">IF(COUNTIF(Final_CB_B1_V5!$B$2:$B$527,A65)&gt;=1,"YES","NO")</f>
        <v>YES</v>
      </c>
      <c r="C65" s="3" t="s">
        <v>1387</v>
      </c>
      <c r="D65" s="3" t="str">
        <f aca="false">IF(COUNTIF(Final_CB_B1_V5!$C$2:$C$527,C65)&gt;=1,"YES","NO")</f>
        <v>YES</v>
      </c>
      <c r="G65" s="4"/>
      <c r="H65" s="4"/>
    </row>
    <row r="66" customFormat="false" ht="15.75" hidden="false" customHeight="false" outlineLevel="0" collapsed="false">
      <c r="A66" s="3" t="s">
        <v>1388</v>
      </c>
      <c r="B66" s="3" t="str">
        <f aca="false">IF(COUNTIF(Final_CB_B1_V5!$B$2:$B$527,A66)&gt;=1,"YES","NO")</f>
        <v>YES</v>
      </c>
      <c r="C66" s="3" t="s">
        <v>1389</v>
      </c>
      <c r="D66" s="3" t="str">
        <f aca="false">IF(COUNTIF(Final_CB_B1_V5!$C$2:$C$527,C66)&gt;=1,"YES","NO")</f>
        <v>YES</v>
      </c>
      <c r="G66" s="4"/>
      <c r="H66" s="4"/>
    </row>
    <row r="67" customFormat="false" ht="15.75" hidden="false" customHeight="false" outlineLevel="0" collapsed="false">
      <c r="A67" s="3" t="s">
        <v>1389</v>
      </c>
      <c r="B67" s="3" t="str">
        <f aca="false">IF(COUNTIF(Final_CB_B1_V5!$B$2:$B$527,A67)&gt;=1,"YES","NO")</f>
        <v>YES</v>
      </c>
      <c r="C67" s="3" t="s">
        <v>1390</v>
      </c>
      <c r="D67" s="3" t="str">
        <f aca="false">IF(COUNTIF(Final_CB_B1_V5!$C$2:$C$527,C67)&gt;=1,"YES","NO")</f>
        <v>YES</v>
      </c>
      <c r="G67" s="4"/>
      <c r="H67" s="4"/>
    </row>
    <row r="68" customFormat="false" ht="15.75" hidden="false" customHeight="false" outlineLevel="0" collapsed="false">
      <c r="A68" s="3" t="s">
        <v>1391</v>
      </c>
      <c r="B68" s="3" t="str">
        <f aca="false">IF(COUNTIF(Final_CB_B1_V5!$B$2:$B$527,A68)&gt;=1,"YES","NO")</f>
        <v>YES</v>
      </c>
      <c r="C68" s="3" t="s">
        <v>1392</v>
      </c>
      <c r="D68" s="3" t="str">
        <f aca="false">IF(COUNTIF(Final_CB_B1_V5!$C$2:$C$527,C68)&gt;=1,"YES","NO")</f>
        <v>YES</v>
      </c>
      <c r="G68" s="4"/>
      <c r="H68" s="4"/>
    </row>
    <row r="69" customFormat="false" ht="15.75" hidden="false" customHeight="false" outlineLevel="0" collapsed="false">
      <c r="A69" s="3" t="s">
        <v>1392</v>
      </c>
      <c r="B69" s="3" t="str">
        <f aca="false">IF(COUNTIF(Final_CB_B1_V5!$B$2:$B$527,A69)&gt;=1,"YES","NO")</f>
        <v>YES</v>
      </c>
      <c r="D69" s="3" t="str">
        <f aca="false">IF(COUNTIF(Final_CB_B1_V5!$C$2:$C$527,C69)&gt;=1,"YES","NO")</f>
        <v>NO</v>
      </c>
      <c r="G69" s="4"/>
      <c r="H69" s="4"/>
    </row>
    <row r="70" customFormat="false" ht="15.75" hidden="false" customHeight="false" outlineLevel="0" collapsed="false">
      <c r="A70" s="3" t="s">
        <v>1393</v>
      </c>
      <c r="B70" s="3" t="str">
        <f aca="false">IF(COUNTIF(Final_CB_B1_V5!$B$2:$B$527,A70)&gt;=1,"YES","NO")</f>
        <v>YES</v>
      </c>
      <c r="D70" s="3" t="str">
        <f aca="false">IF(COUNTIF(Final_CB_B1_V5!$C$2:$C$527,C70)&gt;=1,"YES","NO")</f>
        <v>NO</v>
      </c>
      <c r="G70" s="4"/>
      <c r="H70" s="4"/>
    </row>
    <row r="71" customFormat="false" ht="15.75" hidden="false" customHeight="false" outlineLevel="0" collapsed="false">
      <c r="B71" s="3" t="str">
        <f aca="false">IF(COUNTIF(Final_CB_B1_V5!$B$2:$B$527,A71)&gt;=1,"YES","NO")</f>
        <v>NO</v>
      </c>
      <c r="D71" s="3" t="str">
        <f aca="false">IF(COUNTIF(Final_CB_B1_V5!$C$2:$C$527,C71)&gt;=1,"YES","NO")</f>
        <v>NO</v>
      </c>
      <c r="G71" s="4"/>
      <c r="H71" s="4"/>
    </row>
    <row r="72" customFormat="false" ht="15.75" hidden="false" customHeight="false" outlineLevel="0" collapsed="false">
      <c r="B72" s="3" t="str">
        <f aca="false">IF(COUNTIF(Final_CB_B1_V5!$B$2:$B$527,A72)&gt;=1,"YES","NO")</f>
        <v>NO</v>
      </c>
      <c r="D72" s="3" t="str">
        <f aca="false">IF(COUNTIF(Final_CB_B1_V5!$C$2:$C$527,C72)&gt;=1,"YES","NO")</f>
        <v>NO</v>
      </c>
      <c r="G72" s="4"/>
      <c r="H72" s="4"/>
    </row>
    <row r="73" customFormat="false" ht="15.75" hidden="false" customHeight="false" outlineLevel="0" collapsed="false">
      <c r="B73" s="3" t="str">
        <f aca="false">IF(COUNTIF(Final_CB_B1_V5!$B$2:$B$527,A73)&gt;=1,"YES","NO")</f>
        <v>NO</v>
      </c>
      <c r="D73" s="3" t="str">
        <f aca="false">IF(COUNTIF(Final_CB_B1_V5!$C$2:$C$527,C73)&gt;=1,"YES","NO")</f>
        <v>NO</v>
      </c>
      <c r="G73" s="4"/>
      <c r="H73" s="4"/>
    </row>
    <row r="74" customFormat="false" ht="15.75" hidden="false" customHeight="false" outlineLevel="0" collapsed="false">
      <c r="B74" s="3" t="str">
        <f aca="false">IF(COUNTIF(Final_CB_B1_V5!$B$2:$B$527,A74)&gt;=1,"YES","NO")</f>
        <v>NO</v>
      </c>
      <c r="D74" s="3" t="str">
        <f aca="false">IF(COUNTIF(Final_CB_B1_V5!$C$2:$C$527,C74)&gt;=1,"YES","NO")</f>
        <v>NO</v>
      </c>
      <c r="G74" s="4"/>
      <c r="H74" s="4"/>
    </row>
    <row r="75" customFormat="false" ht="15.75" hidden="false" customHeight="false" outlineLevel="0" collapsed="false">
      <c r="B75" s="3" t="str">
        <f aca="false">IF(COUNTIF(Final_CB_B1_V5!$B$2:$B$527,A75)&gt;=1,"YES","NO")</f>
        <v>NO</v>
      </c>
      <c r="D75" s="3" t="str">
        <f aca="false">IF(COUNTIF(Final_CB_B1_V5!$C$2:$C$527,C75)&gt;=1,"YES","NO")</f>
        <v>NO</v>
      </c>
      <c r="G75" s="4"/>
      <c r="H75" s="4"/>
    </row>
    <row r="76" customFormat="false" ht="15.75" hidden="false" customHeight="false" outlineLevel="0" collapsed="false">
      <c r="B76" s="3" t="str">
        <f aca="false">IF(COUNTIF(Final_CB_B1_V5!$B$2:$B$527,A76)&gt;=1,"YES","NO")</f>
        <v>NO</v>
      </c>
      <c r="D76" s="3" t="str">
        <f aca="false">IF(COUNTIF(Final_CB_B1_V5!$C$2:$C$527,C76)&gt;=1,"YES","NO")</f>
        <v>NO</v>
      </c>
      <c r="G76" s="4"/>
      <c r="H76" s="4"/>
    </row>
    <row r="77" customFormat="false" ht="15.75" hidden="false" customHeight="false" outlineLevel="0" collapsed="false">
      <c r="B77" s="3" t="str">
        <f aca="false">IF(COUNTIF(Final_CB_B1_V5!$B$2:$B$527,A77)&gt;=1,"YES","NO")</f>
        <v>NO</v>
      </c>
      <c r="D77" s="3" t="str">
        <f aca="false">IF(COUNTIF(Final_CB_B1_V5!$C$2:$C$527,C77)&gt;=1,"YES","NO")</f>
        <v>NO</v>
      </c>
      <c r="G77" s="4"/>
      <c r="H77" s="4"/>
    </row>
    <row r="78" customFormat="false" ht="15.75" hidden="false" customHeight="false" outlineLevel="0" collapsed="false">
      <c r="B78" s="3" t="str">
        <f aca="false">IF(COUNTIF(Final_CB_B1_V5!$B$2:$B$527,A78)&gt;=1,"YES","NO")</f>
        <v>NO</v>
      </c>
      <c r="D78" s="3" t="str">
        <f aca="false">IF(COUNTIF(Final_CB_B1_V5!$C$2:$C$527,C78)&gt;=1,"YES","NO")</f>
        <v>NO</v>
      </c>
      <c r="G78" s="4"/>
      <c r="H78" s="4"/>
    </row>
    <row r="79" customFormat="false" ht="15.75" hidden="false" customHeight="false" outlineLevel="0" collapsed="false">
      <c r="B79" s="3" t="str">
        <f aca="false">IF(COUNTIF(Final_CB_B1_V5!$B$2:$B$527,A79)&gt;=1,"YES","NO")</f>
        <v>NO</v>
      </c>
      <c r="D79" s="3" t="str">
        <f aca="false">IF(COUNTIF(Final_CB_B1_V5!$C$2:$C$527,C79)&gt;=1,"YES","NO")</f>
        <v>NO</v>
      </c>
      <c r="G79" s="4"/>
      <c r="H79" s="4"/>
    </row>
    <row r="80" customFormat="false" ht="15.75" hidden="false" customHeight="false" outlineLevel="0" collapsed="false">
      <c r="B80" s="3" t="str">
        <f aca="false">IF(COUNTIF(Final_CB_B1_V5!$B$2:$B$527,A80)&gt;=1,"YES","NO")</f>
        <v>NO</v>
      </c>
      <c r="D80" s="3" t="str">
        <f aca="false">IF(COUNTIF(Final_CB_B1_V5!$C$2:$C$527,C80)&gt;=1,"YES","NO")</f>
        <v>NO</v>
      </c>
      <c r="G80" s="4"/>
      <c r="H80" s="4"/>
    </row>
    <row r="81" customFormat="false" ht="15.75" hidden="false" customHeight="false" outlineLevel="0" collapsed="false">
      <c r="B81" s="3" t="str">
        <f aca="false">IF(COUNTIF(Final_CB_B1_V5!$B$2:$B$527,A81)&gt;=1,"YES","NO")</f>
        <v>NO</v>
      </c>
      <c r="D81" s="3" t="str">
        <f aca="false">IF(COUNTIF(Final_CB_B1_V5!$C$2:$C$527,C81)&gt;=1,"YES","NO")</f>
        <v>NO</v>
      </c>
      <c r="G81" s="4"/>
      <c r="H81" s="4"/>
    </row>
    <row r="82" customFormat="false" ht="15.75" hidden="false" customHeight="false" outlineLevel="0" collapsed="false">
      <c r="B82" s="3" t="str">
        <f aca="false">IF(COUNTIF(Final_CB_B1_V5!$B$2:$B$527,A82)&gt;=1,"YES","NO")</f>
        <v>NO</v>
      </c>
      <c r="D82" s="3" t="str">
        <f aca="false">IF(COUNTIF(Final_CB_B1_V5!$C$2:$C$527,C82)&gt;=1,"YES","NO")</f>
        <v>NO</v>
      </c>
      <c r="G82" s="4"/>
      <c r="H82" s="4"/>
    </row>
    <row r="83" customFormat="false" ht="15.75" hidden="false" customHeight="false" outlineLevel="0" collapsed="false">
      <c r="B83" s="3" t="str">
        <f aca="false">IF(COUNTIF(Final_CB_B1_V5!$B$2:$B$527,A83)&gt;=1,"YES","NO")</f>
        <v>NO</v>
      </c>
      <c r="D83" s="3" t="str">
        <f aca="false">IF(COUNTIF(Final_CB_B1_V5!$C$2:$C$527,C83)&gt;=1,"YES","NO")</f>
        <v>NO</v>
      </c>
      <c r="G83" s="4"/>
      <c r="H83" s="4"/>
    </row>
    <row r="84" customFormat="false" ht="15.75" hidden="false" customHeight="false" outlineLevel="0" collapsed="false">
      <c r="B84" s="3" t="str">
        <f aca="false">IF(COUNTIF(Final_CB_B1_V5!$B$2:$B$527,A84)&gt;=1,"YES","NO")</f>
        <v>NO</v>
      </c>
      <c r="D84" s="3" t="str">
        <f aca="false">IF(COUNTIF(Final_CB_B1_V5!$C$2:$C$527,C84)&gt;=1,"YES","NO")</f>
        <v>NO</v>
      </c>
      <c r="G84" s="4"/>
      <c r="H84" s="4"/>
    </row>
    <row r="85" customFormat="false" ht="15.75" hidden="false" customHeight="false" outlineLevel="0" collapsed="false">
      <c r="B85" s="3" t="str">
        <f aca="false">IF(COUNTIF(Final_CB_B1_V5!$B$2:$B$527,A85)&gt;=1,"YES","NO")</f>
        <v>NO</v>
      </c>
      <c r="D85" s="3" t="str">
        <f aca="false">IF(COUNTIF(Final_CB_B1_V5!$C$2:$C$527,C85)&gt;=1,"YES","NO")</f>
        <v>NO</v>
      </c>
      <c r="G85" s="4"/>
      <c r="H85" s="4"/>
    </row>
    <row r="86" customFormat="false" ht="15.75" hidden="false" customHeight="false" outlineLevel="0" collapsed="false">
      <c r="B86" s="3" t="str">
        <f aca="false">IF(COUNTIF(Final_CB_B1_V5!$B$2:$B$527,A86)&gt;=1,"YES","NO")</f>
        <v>NO</v>
      </c>
      <c r="D86" s="3" t="str">
        <f aca="false">IF(COUNTIF(Final_CB_B1_V5!$C$2:$C$527,C86)&gt;=1,"YES","NO")</f>
        <v>NO</v>
      </c>
      <c r="G86" s="4"/>
      <c r="H86" s="4"/>
    </row>
    <row r="87" customFormat="false" ht="15.75" hidden="false" customHeight="false" outlineLevel="0" collapsed="false">
      <c r="B87" s="3" t="str">
        <f aca="false">IF(COUNTIF(Final_CB_B1_V5!$B$2:$B$527,A87)&gt;=1,"YES","NO")</f>
        <v>NO</v>
      </c>
      <c r="D87" s="3" t="str">
        <f aca="false">IF(COUNTIF(Final_CB_B1_V5!$C$2:$C$527,C87)&gt;=1,"YES","NO")</f>
        <v>NO</v>
      </c>
      <c r="G87" s="4"/>
      <c r="H87" s="4"/>
    </row>
    <row r="88" customFormat="false" ht="15.75" hidden="false" customHeight="false" outlineLevel="0" collapsed="false">
      <c r="B88" s="3" t="str">
        <f aca="false">IF(COUNTIF(Final_CB_B1_V5!$B$2:$B$527,A88)&gt;=1,"YES","NO")</f>
        <v>NO</v>
      </c>
      <c r="D88" s="3" t="str">
        <f aca="false">IF(COUNTIF(Final_CB_B1_V5!$C$2:$C$527,C88)&gt;=1,"YES","NO")</f>
        <v>NO</v>
      </c>
      <c r="G88" s="4"/>
      <c r="H88" s="4"/>
    </row>
    <row r="89" customFormat="false" ht="15.75" hidden="false" customHeight="false" outlineLevel="0" collapsed="false">
      <c r="B89" s="3" t="str">
        <f aca="false">IF(COUNTIF(Final_CB_B1_V5!$B$2:$B$527,A89)&gt;=1,"YES","NO")</f>
        <v>NO</v>
      </c>
      <c r="D89" s="3" t="str">
        <f aca="false">IF(COUNTIF(Final_CB_B1_V5!$C$2:$C$527,C89)&gt;=1,"YES","NO")</f>
        <v>NO</v>
      </c>
      <c r="G89" s="4"/>
      <c r="H89" s="4"/>
    </row>
    <row r="90" customFormat="false" ht="15.75" hidden="false" customHeight="false" outlineLevel="0" collapsed="false">
      <c r="B90" s="3" t="str">
        <f aca="false">IF(COUNTIF(Final_CB_B1_V5!$B$2:$B$527,A90)&gt;=1,"YES","NO")</f>
        <v>NO</v>
      </c>
      <c r="D90" s="3" t="str">
        <f aca="false">IF(COUNTIF(Final_CB_B1_V5!$C$2:$C$527,C90)&gt;=1,"YES","NO")</f>
        <v>NO</v>
      </c>
      <c r="G90" s="4"/>
      <c r="H90" s="4"/>
    </row>
    <row r="91" customFormat="false" ht="15.75" hidden="false" customHeight="false" outlineLevel="0" collapsed="false">
      <c r="B91" s="3" t="str">
        <f aca="false">IF(COUNTIF(Final_CB_B1_V5!$B$2:$B$527,A91)&gt;=1,"YES","NO")</f>
        <v>NO</v>
      </c>
      <c r="D91" s="3" t="str">
        <f aca="false">IF(COUNTIF(Final_CB_B1_V5!$C$2:$C$527,C91)&gt;=1,"YES","NO")</f>
        <v>NO</v>
      </c>
      <c r="G91" s="4"/>
      <c r="H91" s="4"/>
    </row>
    <row r="92" customFormat="false" ht="15.75" hidden="false" customHeight="false" outlineLevel="0" collapsed="false">
      <c r="B92" s="3" t="str">
        <f aca="false">IF(COUNTIF(Final_CB_B1_V5!$B$2:$B$527,A92)&gt;=1,"YES","NO")</f>
        <v>NO</v>
      </c>
      <c r="D92" s="3" t="str">
        <f aca="false">IF(COUNTIF(Final_CB_B1_V5!$C$2:$C$527,C92)&gt;=1,"YES","NO")</f>
        <v>NO</v>
      </c>
      <c r="G92" s="4"/>
      <c r="H92" s="4"/>
    </row>
    <row r="93" customFormat="false" ht="15.75" hidden="false" customHeight="false" outlineLevel="0" collapsed="false">
      <c r="B93" s="3" t="str">
        <f aca="false">IF(COUNTIF(Final_CB_B1_V5!$B$2:$B$527,A93)&gt;=1,"YES","NO")</f>
        <v>NO</v>
      </c>
      <c r="D93" s="3" t="str">
        <f aca="false">IF(COUNTIF(Final_CB_B1_V5!$C$2:$C$527,C93)&gt;=1,"YES","NO")</f>
        <v>NO</v>
      </c>
      <c r="G93" s="4"/>
      <c r="H93" s="4"/>
    </row>
    <row r="94" customFormat="false" ht="15.75" hidden="false" customHeight="false" outlineLevel="0" collapsed="false">
      <c r="B94" s="3" t="str">
        <f aca="false">IF(COUNTIF(Final_CB_B1_V5!$B$2:$B$527,A94)&gt;=1,"YES","NO")</f>
        <v>NO</v>
      </c>
      <c r="D94" s="3" t="str">
        <f aca="false">IF(COUNTIF(Final_CB_B1_V5!$C$2:$C$527,C94)&gt;=1,"YES","NO")</f>
        <v>NO</v>
      </c>
      <c r="G94" s="4"/>
      <c r="H94" s="4"/>
    </row>
    <row r="95" customFormat="false" ht="15.75" hidden="false" customHeight="false" outlineLevel="0" collapsed="false">
      <c r="B95" s="3" t="str">
        <f aca="false">IF(COUNTIF(Final_CB_B1_V5!$B$2:$B$527,A95)&gt;=1,"YES","NO")</f>
        <v>NO</v>
      </c>
      <c r="D95" s="3" t="str">
        <f aca="false">IF(COUNTIF(Final_CB_B1_V5!$C$2:$C$527,C95)&gt;=1,"YES","NO")</f>
        <v>NO</v>
      </c>
      <c r="G95" s="4"/>
      <c r="H95" s="4"/>
    </row>
    <row r="96" customFormat="false" ht="15.75" hidden="false" customHeight="false" outlineLevel="0" collapsed="false">
      <c r="B96" s="3" t="str">
        <f aca="false">IF(COUNTIF(Final_CB_B1_V5!$B$2:$B$527,A96)&gt;=1,"YES","NO")</f>
        <v>NO</v>
      </c>
      <c r="D96" s="3" t="str">
        <f aca="false">IF(COUNTIF(Final_CB_B1_V5!$C$2:$C$527,C96)&gt;=1,"YES","NO")</f>
        <v>NO</v>
      </c>
      <c r="G96" s="4"/>
      <c r="H96" s="4"/>
    </row>
    <row r="97" customFormat="false" ht="15.75" hidden="false" customHeight="false" outlineLevel="0" collapsed="false">
      <c r="B97" s="3" t="str">
        <f aca="false">IF(COUNTIF(Final_CB_B1_V5!$B$2:$B$527,A97)&gt;=1,"YES","NO")</f>
        <v>NO</v>
      </c>
      <c r="D97" s="3" t="str">
        <f aca="false">IF(COUNTIF(Final_CB_B1_V5!$C$2:$C$527,C97)&gt;=1,"YES","NO")</f>
        <v>NO</v>
      </c>
      <c r="G97" s="4"/>
      <c r="H97" s="4"/>
    </row>
    <row r="98" customFormat="false" ht="15.75" hidden="false" customHeight="false" outlineLevel="0" collapsed="false">
      <c r="B98" s="3" t="str">
        <f aca="false">IF(COUNTIF(Final_CB_B1_V5!$B$2:$B$527,A98)&gt;=1,"YES","NO")</f>
        <v>NO</v>
      </c>
      <c r="D98" s="3" t="str">
        <f aca="false">IF(COUNTIF(Final_CB_B1_V5!$C$2:$C$527,C98)&gt;=1,"YES","NO")</f>
        <v>NO</v>
      </c>
      <c r="G98" s="4"/>
      <c r="H98" s="4"/>
    </row>
    <row r="99" customFormat="false" ht="15.75" hidden="false" customHeight="false" outlineLevel="0" collapsed="false">
      <c r="B99" s="3" t="str">
        <f aca="false">IF(COUNTIF(Final_CB_B1_V5!$B$2:$B$527,A99)&gt;=1,"YES","NO")</f>
        <v>NO</v>
      </c>
      <c r="D99" s="3" t="str">
        <f aca="false">IF(COUNTIF(Final_CB_B1_V5!$C$2:$C$527,C99)&gt;=1,"YES","NO")</f>
        <v>NO</v>
      </c>
      <c r="G99" s="4"/>
      <c r="H99" s="4"/>
    </row>
    <row r="100" customFormat="false" ht="15.75" hidden="false" customHeight="false" outlineLevel="0" collapsed="false">
      <c r="B100" s="3" t="str">
        <f aca="false">IF(COUNTIF(Final_CB_B1_V5!$B$2:$B$527,A100)&gt;=1,"YES","NO")</f>
        <v>NO</v>
      </c>
      <c r="D100" s="3" t="str">
        <f aca="false">IF(COUNTIF(Final_CB_B1_V5!$C$2:$C$527,C100)&gt;=1,"YES","NO")</f>
        <v>NO</v>
      </c>
      <c r="G100" s="4"/>
      <c r="H100" s="4"/>
    </row>
    <row r="101" customFormat="false" ht="15.75" hidden="false" customHeight="false" outlineLevel="0" collapsed="false">
      <c r="B101" s="3" t="str">
        <f aca="false">IF(COUNTIF(Final_CB_B1_V5!$B$2:$B$527,A101)&gt;=1,"YES","NO")</f>
        <v>NO</v>
      </c>
      <c r="D101" s="3" t="str">
        <f aca="false">IF(COUNTIF(Final_CB_B1_V5!$C$2:$C$527,C101)&gt;=1,"YES","NO")</f>
        <v>NO</v>
      </c>
      <c r="G101" s="4"/>
      <c r="H101" s="4"/>
    </row>
    <row r="102" customFormat="false" ht="15.75" hidden="false" customHeight="false" outlineLevel="0" collapsed="false">
      <c r="B102" s="3" t="str">
        <f aca="false">IF(COUNTIF(Final_CB_B1_V5!$B$2:$B$527,A102)&gt;=1,"YES","NO")</f>
        <v>NO</v>
      </c>
      <c r="D102" s="3" t="str">
        <f aca="false">IF(COUNTIF(Final_CB_B1_V5!$C$2:$C$527,C102)&gt;=1,"YES","NO")</f>
        <v>NO</v>
      </c>
      <c r="G102" s="4"/>
      <c r="H102" s="4"/>
    </row>
    <row r="103" customFormat="false" ht="15.75" hidden="false" customHeight="false" outlineLevel="0" collapsed="false">
      <c r="B103" s="3" t="str">
        <f aca="false">IF(COUNTIF(Final_CB_B1_V5!$B$2:$B$527,A103)&gt;=1,"YES","NO")</f>
        <v>NO</v>
      </c>
      <c r="D103" s="3" t="str">
        <f aca="false">IF(COUNTIF(Final_CB_B1_V5!$C$2:$C$527,C103)&gt;=1,"YES","NO")</f>
        <v>NO</v>
      </c>
      <c r="G103" s="4"/>
      <c r="H103" s="4"/>
    </row>
    <row r="104" customFormat="false" ht="15.75" hidden="false" customHeight="false" outlineLevel="0" collapsed="false">
      <c r="B104" s="3" t="str">
        <f aca="false">IF(COUNTIF(Final_CB_B1_V5!$B$2:$B$527,A104)&gt;=1,"YES","NO")</f>
        <v>NO</v>
      </c>
      <c r="D104" s="3" t="str">
        <f aca="false">IF(COUNTIF(Final_CB_B1_V5!$C$2:$C$527,C104)&gt;=1,"YES","NO")</f>
        <v>NO</v>
      </c>
      <c r="G104" s="4"/>
      <c r="H104" s="4"/>
    </row>
    <row r="105" customFormat="false" ht="15.75" hidden="false" customHeight="false" outlineLevel="0" collapsed="false">
      <c r="B105" s="3" t="str">
        <f aca="false">IF(COUNTIF(Final_CB_B1_V5!$B$2:$B$527,A105)&gt;=1,"YES","NO")</f>
        <v>NO</v>
      </c>
      <c r="D105" s="3" t="str">
        <f aca="false">IF(COUNTIF(Final_CB_B1_V5!$C$2:$C$527,C105)&gt;=1,"YES","NO")</f>
        <v>NO</v>
      </c>
      <c r="G105" s="4"/>
      <c r="H105" s="4"/>
    </row>
    <row r="106" customFormat="false" ht="15.75" hidden="false" customHeight="false" outlineLevel="0" collapsed="false">
      <c r="B106" s="3" t="str">
        <f aca="false">IF(COUNTIF(Final_CB_B1_V5!$B$2:$B$527,A106)&gt;=1,"YES","NO")</f>
        <v>NO</v>
      </c>
      <c r="D106" s="3" t="str">
        <f aca="false">IF(COUNTIF(Final_CB_B1_V5!$C$2:$C$527,C106)&gt;=1,"YES","NO")</f>
        <v>NO</v>
      </c>
      <c r="G106" s="4"/>
      <c r="H106" s="4"/>
    </row>
    <row r="107" customFormat="false" ht="15.75" hidden="false" customHeight="false" outlineLevel="0" collapsed="false">
      <c r="B107" s="3" t="str">
        <f aca="false">IF(COUNTIF(Final_CB_B1_V5!$B$2:$B$527,A107)&gt;=1,"YES","NO")</f>
        <v>NO</v>
      </c>
      <c r="D107" s="3" t="str">
        <f aca="false">IF(COUNTIF(Final_CB_B1_V5!$C$2:$C$527,C107)&gt;=1,"YES","NO")</f>
        <v>NO</v>
      </c>
      <c r="G107" s="4"/>
      <c r="H107" s="4"/>
    </row>
    <row r="108" customFormat="false" ht="15.75" hidden="false" customHeight="false" outlineLevel="0" collapsed="false">
      <c r="B108" s="3" t="str">
        <f aca="false">IF(COUNTIF(Final_CB_B1_V5!$B$2:$B$527,A108)&gt;=1,"YES","NO")</f>
        <v>NO</v>
      </c>
      <c r="D108" s="3" t="str">
        <f aca="false">IF(COUNTIF(Final_CB_B1_V5!$C$2:$C$527,C108)&gt;=1,"YES","NO")</f>
        <v>NO</v>
      </c>
      <c r="G108" s="4"/>
      <c r="H108" s="4"/>
    </row>
    <row r="109" customFormat="false" ht="15.75" hidden="false" customHeight="false" outlineLevel="0" collapsed="false">
      <c r="B109" s="3" t="str">
        <f aca="false">IF(COUNTIF(Final_CB_B1_V5!$B$2:$B$527,A109)&gt;=1,"YES","NO")</f>
        <v>NO</v>
      </c>
      <c r="D109" s="3" t="str">
        <f aca="false">IF(COUNTIF(Final_CB_B1_V5!$C$2:$C$527,C109)&gt;=1,"YES","NO")</f>
        <v>NO</v>
      </c>
      <c r="G109" s="4"/>
      <c r="H109" s="4"/>
    </row>
    <row r="110" customFormat="false" ht="15.75" hidden="false" customHeight="false" outlineLevel="0" collapsed="false">
      <c r="B110" s="3" t="str">
        <f aca="false">IF(COUNTIF(Final_CB_B1_V5!$B$2:$B$527,A110)&gt;=1,"YES","NO")</f>
        <v>NO</v>
      </c>
      <c r="D110" s="3" t="str">
        <f aca="false">IF(COUNTIF(Final_CB_B1_V5!$C$2:$C$527,C110)&gt;=1,"YES","NO")</f>
        <v>NO</v>
      </c>
      <c r="G110" s="4"/>
      <c r="H110" s="4"/>
    </row>
    <row r="111" customFormat="false" ht="15.75" hidden="false" customHeight="false" outlineLevel="0" collapsed="false">
      <c r="B111" s="3" t="str">
        <f aca="false">IF(COUNTIF(Final_CB_B1_V5!$B$2:$B$527,A111)&gt;=1,"YES","NO")</f>
        <v>NO</v>
      </c>
      <c r="D111" s="3" t="str">
        <f aca="false">IF(COUNTIF(Final_CB_B1_V5!$C$2:$C$527,C111)&gt;=1,"YES","NO")</f>
        <v>NO</v>
      </c>
      <c r="G111" s="4"/>
      <c r="H111" s="4"/>
    </row>
    <row r="112" customFormat="false" ht="15.75" hidden="false" customHeight="false" outlineLevel="0" collapsed="false">
      <c r="B112" s="3" t="str">
        <f aca="false">IF(COUNTIF(Final_CB_B1_V5!$B$2:$B$527,A112)&gt;=1,"YES","NO")</f>
        <v>NO</v>
      </c>
      <c r="D112" s="3" t="str">
        <f aca="false">IF(COUNTIF(Final_CB_B1_V5!$C$2:$C$527,C112)&gt;=1,"YES","NO")</f>
        <v>NO</v>
      </c>
      <c r="G112" s="4"/>
      <c r="H112" s="4"/>
    </row>
    <row r="113" customFormat="false" ht="15.75" hidden="false" customHeight="false" outlineLevel="0" collapsed="false">
      <c r="B113" s="3" t="str">
        <f aca="false">IF(COUNTIF(Final_CB_B1_V5!$B$2:$B$527,A113)&gt;=1,"YES","NO")</f>
        <v>NO</v>
      </c>
      <c r="D113" s="3" t="str">
        <f aca="false">IF(COUNTIF(Final_CB_B1_V5!$C$2:$C$527,C113)&gt;=1,"YES","NO")</f>
        <v>NO</v>
      </c>
      <c r="G113" s="4"/>
      <c r="H113" s="4"/>
    </row>
    <row r="114" customFormat="false" ht="15.75" hidden="false" customHeight="false" outlineLevel="0" collapsed="false">
      <c r="B114" s="3" t="str">
        <f aca="false">IF(COUNTIF(Final_CB_B1_V5!$B$2:$B$527,A114)&gt;=1,"YES","NO")</f>
        <v>NO</v>
      </c>
      <c r="D114" s="3" t="str">
        <f aca="false">IF(COUNTIF(Final_CB_B1_V5!$C$2:$C$527,C114)&gt;=1,"YES","NO")</f>
        <v>NO</v>
      </c>
      <c r="G114" s="4"/>
      <c r="H114" s="4"/>
    </row>
    <row r="115" customFormat="false" ht="15.75" hidden="false" customHeight="false" outlineLevel="0" collapsed="false">
      <c r="B115" s="3" t="str">
        <f aca="false">IF(COUNTIF(Final_CB_B1_V5!$B$2:$B$527,A115)&gt;=1,"YES","NO")</f>
        <v>NO</v>
      </c>
      <c r="D115" s="3" t="str">
        <f aca="false">IF(COUNTIF(Final_CB_B1_V5!$C$2:$C$527,C115)&gt;=1,"YES","NO")</f>
        <v>NO</v>
      </c>
      <c r="G115" s="4"/>
      <c r="H115" s="4"/>
    </row>
    <row r="116" customFormat="false" ht="15.75" hidden="false" customHeight="false" outlineLevel="0" collapsed="false">
      <c r="B116" s="3" t="str">
        <f aca="false">IF(COUNTIF(Final_CB_B1_V5!$B$2:$B$527,A116)&gt;=1,"YES","NO")</f>
        <v>NO</v>
      </c>
      <c r="D116" s="3" t="str">
        <f aca="false">IF(COUNTIF(Final_CB_B1_V5!$C$2:$C$527,C116)&gt;=1,"YES","NO")</f>
        <v>NO</v>
      </c>
      <c r="G116" s="4"/>
      <c r="H116" s="4"/>
    </row>
    <row r="117" customFormat="false" ht="15.75" hidden="false" customHeight="false" outlineLevel="0" collapsed="false">
      <c r="B117" s="3" t="str">
        <f aca="false">IF(COUNTIF(Final_CB_B1_V5!$B$2:$B$527,A117)&gt;=1,"YES","NO")</f>
        <v>NO</v>
      </c>
      <c r="D117" s="3" t="str">
        <f aca="false">IF(COUNTIF(Final_CB_B1_V5!$C$2:$C$527,C117)&gt;=1,"YES","NO")</f>
        <v>NO</v>
      </c>
      <c r="G117" s="4"/>
      <c r="H117" s="4"/>
    </row>
    <row r="118" customFormat="false" ht="15.75" hidden="false" customHeight="false" outlineLevel="0" collapsed="false">
      <c r="B118" s="3" t="str">
        <f aca="false">IF(COUNTIF(Final_CB_B1_V5!$B$2:$B$527,A118)&gt;=1,"YES","NO")</f>
        <v>NO</v>
      </c>
      <c r="D118" s="3" t="str">
        <f aca="false">IF(COUNTIF(Final_CB_B1_V5!$C$2:$C$527,C118)&gt;=1,"YES","NO")</f>
        <v>NO</v>
      </c>
      <c r="G118" s="4"/>
      <c r="H118" s="4"/>
    </row>
    <row r="119" customFormat="false" ht="15.75" hidden="false" customHeight="false" outlineLevel="0" collapsed="false">
      <c r="B119" s="3" t="str">
        <f aca="false">IF(COUNTIF(Final_CB_B1_V5!$B$2:$B$527,A119)&gt;=1,"YES","NO")</f>
        <v>NO</v>
      </c>
      <c r="D119" s="3" t="str">
        <f aca="false">IF(COUNTIF(Final_CB_B1_V5!$C$2:$C$527,C119)&gt;=1,"YES","NO")</f>
        <v>NO</v>
      </c>
      <c r="G119" s="4"/>
      <c r="H119" s="4"/>
    </row>
    <row r="120" customFormat="false" ht="15.75" hidden="false" customHeight="false" outlineLevel="0" collapsed="false">
      <c r="B120" s="3" t="str">
        <f aca="false">IF(COUNTIF(Final_CB_B1_V5!$B$2:$B$527,A120)&gt;=1,"YES","NO")</f>
        <v>NO</v>
      </c>
      <c r="D120" s="3" t="str">
        <f aca="false">IF(COUNTIF(Final_CB_B1_V5!$C$2:$C$527,C120)&gt;=1,"YES","NO")</f>
        <v>NO</v>
      </c>
      <c r="G120" s="4"/>
      <c r="H120" s="4"/>
    </row>
    <row r="121" customFormat="false" ht="15.75" hidden="false" customHeight="false" outlineLevel="0" collapsed="false">
      <c r="B121" s="3" t="str">
        <f aca="false">IF(COUNTIF(Final_CB_B1_V5!$B$2:$B$527,A121)&gt;=1,"YES","NO")</f>
        <v>NO</v>
      </c>
      <c r="D121" s="3" t="str">
        <f aca="false">IF(COUNTIF(Final_CB_B1_V5!$C$2:$C$527,C121)&gt;=1,"YES","NO")</f>
        <v>NO</v>
      </c>
      <c r="G121" s="4"/>
      <c r="H121" s="4"/>
    </row>
    <row r="122" customFormat="false" ht="15.75" hidden="false" customHeight="false" outlineLevel="0" collapsed="false">
      <c r="B122" s="3" t="str">
        <f aca="false">IF(COUNTIF(Final_CB_B1_V5!$B$2:$B$527,A122)&gt;=1,"YES","NO")</f>
        <v>NO</v>
      </c>
      <c r="D122" s="3" t="str">
        <f aca="false">IF(COUNTIF(Final_CB_B1_V5!$C$2:$C$527,C122)&gt;=1,"YES","NO")</f>
        <v>NO</v>
      </c>
      <c r="G122" s="4"/>
      <c r="H122" s="4"/>
    </row>
    <row r="123" customFormat="false" ht="15.75" hidden="false" customHeight="false" outlineLevel="0" collapsed="false">
      <c r="B123" s="3" t="str">
        <f aca="false">IF(COUNTIF(Final_CB_B1_V5!$B$2:$B$527,A123)&gt;=1,"YES","NO")</f>
        <v>NO</v>
      </c>
      <c r="D123" s="3" t="str">
        <f aca="false">IF(COUNTIF(Final_CB_B1_V5!$C$2:$C$527,C123)&gt;=1,"YES","NO")</f>
        <v>NO</v>
      </c>
      <c r="G123" s="4"/>
      <c r="H123" s="4"/>
    </row>
    <row r="124" customFormat="false" ht="15.75" hidden="false" customHeight="false" outlineLevel="0" collapsed="false">
      <c r="B124" s="3" t="str">
        <f aca="false">IF(COUNTIF(Final_CB_B1_V5!$B$2:$B$527,A124)&gt;=1,"YES","NO")</f>
        <v>NO</v>
      </c>
      <c r="D124" s="3" t="str">
        <f aca="false">IF(COUNTIF(Final_CB_B1_V5!$C$2:$C$527,C124)&gt;=1,"YES","NO")</f>
        <v>NO</v>
      </c>
      <c r="G124" s="4"/>
      <c r="H124" s="4"/>
    </row>
    <row r="125" customFormat="false" ht="15.75" hidden="false" customHeight="false" outlineLevel="0" collapsed="false">
      <c r="B125" s="3" t="str">
        <f aca="false">IF(COUNTIF(Final_CB_B1_V5!$B$2:$B$527,A125)&gt;=1,"YES","NO")</f>
        <v>NO</v>
      </c>
      <c r="D125" s="3" t="str">
        <f aca="false">IF(COUNTIF(Final_CB_B1_V5!$C$2:$C$527,C125)&gt;=1,"YES","NO")</f>
        <v>NO</v>
      </c>
      <c r="G125" s="4"/>
      <c r="H125" s="4"/>
    </row>
    <row r="126" customFormat="false" ht="15.75" hidden="false" customHeight="false" outlineLevel="0" collapsed="false">
      <c r="B126" s="3" t="str">
        <f aca="false">IF(COUNTIF(Final_CB_B1_V5!$B$2:$B$527,A126)&gt;=1,"YES","NO")</f>
        <v>NO</v>
      </c>
      <c r="D126" s="3" t="str">
        <f aca="false">IF(COUNTIF(Final_CB_B1_V5!$C$2:$C$527,C126)&gt;=1,"YES","NO")</f>
        <v>NO</v>
      </c>
      <c r="G126" s="4"/>
      <c r="H126" s="4"/>
    </row>
    <row r="127" customFormat="false" ht="15.75" hidden="false" customHeight="false" outlineLevel="0" collapsed="false">
      <c r="B127" s="3" t="str">
        <f aca="false">IF(COUNTIF(Final_CB_B1_V5!$B$2:$B$527,A127)&gt;=1,"YES","NO")</f>
        <v>NO</v>
      </c>
      <c r="D127" s="3" t="str">
        <f aca="false">IF(COUNTIF(Final_CB_B1_V5!$C$2:$C$527,C127)&gt;=1,"YES","NO")</f>
        <v>NO</v>
      </c>
      <c r="G127" s="4"/>
      <c r="H127" s="4"/>
    </row>
    <row r="128" customFormat="false" ht="15.75" hidden="false" customHeight="false" outlineLevel="0" collapsed="false">
      <c r="B128" s="3" t="str">
        <f aca="false">IF(COUNTIF(Final_CB_B1_V5!$B$2:$B$527,A128)&gt;=1,"YES","NO")</f>
        <v>NO</v>
      </c>
      <c r="D128" s="3" t="str">
        <f aca="false">IF(COUNTIF(Final_CB_B1_V5!$C$2:$C$527,C128)&gt;=1,"YES","NO")</f>
        <v>NO</v>
      </c>
      <c r="G128" s="4"/>
      <c r="H128" s="4"/>
    </row>
    <row r="129" customFormat="false" ht="15.75" hidden="false" customHeight="false" outlineLevel="0" collapsed="false">
      <c r="B129" s="3" t="str">
        <f aca="false">IF(COUNTIF(Final_CB_B1_V5!$B$2:$B$527,A129)&gt;=1,"YES","NO")</f>
        <v>NO</v>
      </c>
      <c r="D129" s="3" t="str">
        <f aca="false">IF(COUNTIF(Final_CB_B1_V5!$C$2:$C$527,C129)&gt;=1,"YES","NO")</f>
        <v>NO</v>
      </c>
      <c r="G129" s="4"/>
      <c r="H129" s="4"/>
    </row>
    <row r="130" customFormat="false" ht="15.75" hidden="false" customHeight="false" outlineLevel="0" collapsed="false">
      <c r="B130" s="3" t="str">
        <f aca="false">IF(COUNTIF(Final_CB_B1_V5!$B$2:$B$527,A130)&gt;=1,"YES","NO")</f>
        <v>NO</v>
      </c>
      <c r="D130" s="3" t="str">
        <f aca="false">IF(COUNTIF(Final_CB_B1_V5!$C$2:$C$527,C130)&gt;=1,"YES","NO")</f>
        <v>NO</v>
      </c>
      <c r="G130" s="4"/>
      <c r="H130" s="4"/>
    </row>
    <row r="131" customFormat="false" ht="15.75" hidden="false" customHeight="false" outlineLevel="0" collapsed="false">
      <c r="B131" s="3" t="str">
        <f aca="false">IF(COUNTIF(Final_CB_B1_V5!$B$2:$B$527,A131)&gt;=1,"YES","NO")</f>
        <v>NO</v>
      </c>
      <c r="D131" s="3" t="str">
        <f aca="false">IF(COUNTIF(Final_CB_B1_V5!$C$2:$C$527,C131)&gt;=1,"YES","NO")</f>
        <v>NO</v>
      </c>
      <c r="G131" s="4"/>
      <c r="H131" s="4"/>
    </row>
    <row r="132" customFormat="false" ht="15.75" hidden="false" customHeight="false" outlineLevel="0" collapsed="false">
      <c r="B132" s="3" t="str">
        <f aca="false">IF(COUNTIF(Final_CB_B1_V5!$B$2:$B$527,A132)&gt;=1,"YES","NO")</f>
        <v>NO</v>
      </c>
      <c r="D132" s="3" t="str">
        <f aca="false">IF(COUNTIF(Final_CB_B1_V5!$C$2:$C$527,C132)&gt;=1,"YES","NO")</f>
        <v>NO</v>
      </c>
      <c r="G132" s="4"/>
      <c r="H132" s="4"/>
    </row>
    <row r="133" customFormat="false" ht="15.75" hidden="false" customHeight="false" outlineLevel="0" collapsed="false">
      <c r="B133" s="3" t="str">
        <f aca="false">IF(COUNTIF(Final_CB_B1_V5!$B$2:$B$527,A133)&gt;=1,"YES","NO")</f>
        <v>NO</v>
      </c>
      <c r="D133" s="3" t="str">
        <f aca="false">IF(COUNTIF(Final_CB_B1_V5!$C$2:$C$527,C133)&gt;=1,"YES","NO")</f>
        <v>NO</v>
      </c>
      <c r="G133" s="4"/>
      <c r="H133" s="4"/>
    </row>
    <row r="134" customFormat="false" ht="15.75" hidden="false" customHeight="false" outlineLevel="0" collapsed="false">
      <c r="B134" s="3" t="str">
        <f aca="false">IF(COUNTIF(Final_CB_B1_V5!$B$2:$B$527,A134)&gt;=1,"YES","NO")</f>
        <v>NO</v>
      </c>
      <c r="D134" s="3" t="str">
        <f aca="false">IF(COUNTIF(Final_CB_B1_V5!$C$2:$C$527,C134)&gt;=1,"YES","NO")</f>
        <v>NO</v>
      </c>
      <c r="G134" s="4"/>
      <c r="H134" s="4"/>
    </row>
    <row r="135" customFormat="false" ht="15.75" hidden="false" customHeight="false" outlineLevel="0" collapsed="false">
      <c r="B135" s="3" t="str">
        <f aca="false">IF(COUNTIF(Final_CB_B1_V5!$B$2:$B$527,A135)&gt;=1,"YES","NO")</f>
        <v>NO</v>
      </c>
      <c r="D135" s="3" t="str">
        <f aca="false">IF(COUNTIF(Final_CB_B1_V5!$C$2:$C$527,C135)&gt;=1,"YES","NO")</f>
        <v>NO</v>
      </c>
      <c r="G135" s="4"/>
      <c r="H135" s="4"/>
    </row>
    <row r="136" customFormat="false" ht="15.75" hidden="false" customHeight="false" outlineLevel="0" collapsed="false">
      <c r="B136" s="3" t="str">
        <f aca="false">IF(COUNTIF(Final_CB_B1_V5!$B$2:$B$527,A136)&gt;=1,"YES","NO")</f>
        <v>NO</v>
      </c>
      <c r="D136" s="3" t="str">
        <f aca="false">IF(COUNTIF(Final_CB_B1_V5!$C$2:$C$527,C136)&gt;=1,"YES","NO")</f>
        <v>NO</v>
      </c>
      <c r="G136" s="4"/>
      <c r="H136" s="4"/>
    </row>
    <row r="137" customFormat="false" ht="15.75" hidden="false" customHeight="false" outlineLevel="0" collapsed="false">
      <c r="B137" s="3" t="str">
        <f aca="false">IF(COUNTIF(Final_CB_B1_V5!$B$2:$B$527,A137)&gt;=1,"YES","NO")</f>
        <v>NO</v>
      </c>
      <c r="D137" s="3" t="str">
        <f aca="false">IF(COUNTIF(Final_CB_B1_V5!$C$2:$C$527,C137)&gt;=1,"YES","NO")</f>
        <v>NO</v>
      </c>
      <c r="G137" s="4"/>
      <c r="H137" s="4"/>
    </row>
    <row r="138" customFormat="false" ht="15.75" hidden="false" customHeight="false" outlineLevel="0" collapsed="false">
      <c r="B138" s="3" t="str">
        <f aca="false">IF(COUNTIF(Final_CB_B1_V5!$B$2:$B$527,A138)&gt;=1,"YES","NO")</f>
        <v>NO</v>
      </c>
      <c r="D138" s="3" t="str">
        <f aca="false">IF(COUNTIF(Final_CB_B1_V5!$C$2:$C$527,C138)&gt;=1,"YES","NO")</f>
        <v>NO</v>
      </c>
      <c r="G138" s="4"/>
      <c r="H138" s="4"/>
    </row>
    <row r="139" customFormat="false" ht="15.75" hidden="false" customHeight="false" outlineLevel="0" collapsed="false">
      <c r="B139" s="3" t="str">
        <f aca="false">IF(COUNTIF(Final_CB_B1_V5!$B$2:$B$527,A139)&gt;=1,"YES","NO")</f>
        <v>NO</v>
      </c>
      <c r="D139" s="3" t="str">
        <f aca="false">IF(COUNTIF(Final_CB_B1_V5!$C$2:$C$527,C139)&gt;=1,"YES","NO")</f>
        <v>NO</v>
      </c>
      <c r="G139" s="4"/>
      <c r="H139" s="4"/>
    </row>
    <row r="140" customFormat="false" ht="15.75" hidden="false" customHeight="false" outlineLevel="0" collapsed="false">
      <c r="B140" s="3" t="str">
        <f aca="false">IF(COUNTIF(Final_CB_B1_V5!$B$2:$B$527,A140)&gt;=1,"YES","NO")</f>
        <v>NO</v>
      </c>
      <c r="D140" s="3" t="str">
        <f aca="false">IF(COUNTIF(Final_CB_B1_V5!$C$2:$C$527,C140)&gt;=1,"YES","NO")</f>
        <v>NO</v>
      </c>
      <c r="G140" s="4"/>
      <c r="H140" s="4"/>
    </row>
    <row r="141" customFormat="false" ht="15.75" hidden="false" customHeight="false" outlineLevel="0" collapsed="false">
      <c r="B141" s="3" t="str">
        <f aca="false">IF(COUNTIF(Final_CB_B1_V5!$B$2:$B$527,A141)&gt;=1,"YES","NO")</f>
        <v>NO</v>
      </c>
      <c r="D141" s="3" t="str">
        <f aca="false">IF(COUNTIF(Final_CB_B1_V5!$C$2:$C$527,C141)&gt;=1,"YES","NO")</f>
        <v>NO</v>
      </c>
      <c r="G141" s="4"/>
      <c r="H141" s="4"/>
    </row>
    <row r="142" customFormat="false" ht="15.75" hidden="false" customHeight="false" outlineLevel="0" collapsed="false">
      <c r="B142" s="3" t="str">
        <f aca="false">IF(COUNTIF(Final_CB_B1_V5!$B$2:$B$527,A142)&gt;=1,"YES","NO")</f>
        <v>NO</v>
      </c>
      <c r="D142" s="3" t="str">
        <f aca="false">IF(COUNTIF(Final_CB_B1_V5!$C$2:$C$527,C142)&gt;=1,"YES","NO")</f>
        <v>NO</v>
      </c>
      <c r="G142" s="4"/>
      <c r="H142" s="4"/>
    </row>
    <row r="143" customFormat="false" ht="15.75" hidden="false" customHeight="false" outlineLevel="0" collapsed="false">
      <c r="B143" s="3" t="str">
        <f aca="false">IF(COUNTIF(Final_CB_B1_V5!$B$2:$B$527,A143)&gt;=1,"YES","NO")</f>
        <v>NO</v>
      </c>
      <c r="D143" s="3" t="str">
        <f aca="false">IF(COUNTIF(Final_CB_B1_V5!$C$2:$C$527,C143)&gt;=1,"YES","NO")</f>
        <v>NO</v>
      </c>
      <c r="G143" s="4"/>
      <c r="H143" s="4"/>
    </row>
    <row r="144" customFormat="false" ht="15.75" hidden="false" customHeight="false" outlineLevel="0" collapsed="false">
      <c r="B144" s="3" t="str">
        <f aca="false">IF(COUNTIF(Final_CB_B1_V5!$B$2:$B$527,A144)&gt;=1,"YES","NO")</f>
        <v>NO</v>
      </c>
      <c r="D144" s="3" t="str">
        <f aca="false">IF(COUNTIF(Final_CB_B1_V5!$C$2:$C$527,C144)&gt;=1,"YES","NO")</f>
        <v>NO</v>
      </c>
      <c r="G144" s="4"/>
      <c r="H144" s="4"/>
    </row>
    <row r="145" customFormat="false" ht="15.75" hidden="false" customHeight="false" outlineLevel="0" collapsed="false">
      <c r="B145" s="3" t="str">
        <f aca="false">IF(COUNTIF(Final_CB_B1_V5!$B$2:$B$527,A145)&gt;=1,"YES","NO")</f>
        <v>NO</v>
      </c>
      <c r="D145" s="3" t="str">
        <f aca="false">IF(COUNTIF(Final_CB_B1_V5!$C$2:$C$527,C145)&gt;=1,"YES","NO")</f>
        <v>NO</v>
      </c>
      <c r="G145" s="4"/>
      <c r="H145" s="4"/>
    </row>
    <row r="146" customFormat="false" ht="15.75" hidden="false" customHeight="false" outlineLevel="0" collapsed="false">
      <c r="B146" s="3" t="str">
        <f aca="false">IF(COUNTIF(Final_CB_B1_V5!$B$2:$B$527,A146)&gt;=1,"YES","NO")</f>
        <v>NO</v>
      </c>
      <c r="D146" s="3" t="str">
        <f aca="false">IF(COUNTIF(Final_CB_B1_V5!$C$2:$C$527,C146)&gt;=1,"YES","NO")</f>
        <v>NO</v>
      </c>
      <c r="G146" s="4"/>
      <c r="H146" s="4"/>
    </row>
    <row r="147" customFormat="false" ht="15.75" hidden="false" customHeight="false" outlineLevel="0" collapsed="false">
      <c r="B147" s="3" t="str">
        <f aca="false">IF(COUNTIF(Final_CB_B1_V5!$B$2:$B$527,A147)&gt;=1,"YES","NO")</f>
        <v>NO</v>
      </c>
      <c r="D147" s="3" t="str">
        <f aca="false">IF(COUNTIF(Final_CB_B1_V5!$C$2:$C$527,C147)&gt;=1,"YES","NO")</f>
        <v>NO</v>
      </c>
      <c r="G147" s="4"/>
      <c r="H147" s="4"/>
    </row>
    <row r="148" customFormat="false" ht="15.75" hidden="false" customHeight="false" outlineLevel="0" collapsed="false">
      <c r="B148" s="3" t="str">
        <f aca="false">IF(COUNTIF(Final_CB_B1_V5!$B$2:$B$527,A148)&gt;=1,"YES","NO")</f>
        <v>NO</v>
      </c>
      <c r="D148" s="3" t="str">
        <f aca="false">IF(COUNTIF(Final_CB_B1_V5!$C$2:$C$527,C148)&gt;=1,"YES","NO")</f>
        <v>NO</v>
      </c>
      <c r="G148" s="4"/>
      <c r="H148" s="4"/>
    </row>
    <row r="149" customFormat="false" ht="15.75" hidden="false" customHeight="false" outlineLevel="0" collapsed="false">
      <c r="B149" s="3" t="str">
        <f aca="false">IF(COUNTIF(Final_CB_B1_V5!$B$2:$B$527,A149)&gt;=1,"YES","NO")</f>
        <v>NO</v>
      </c>
      <c r="D149" s="3" t="str">
        <f aca="false">IF(COUNTIF(Final_CB_B1_V5!$C$2:$C$527,C149)&gt;=1,"YES","NO")</f>
        <v>NO</v>
      </c>
      <c r="G149" s="4"/>
      <c r="H149" s="4"/>
    </row>
    <row r="150" customFormat="false" ht="15.75" hidden="false" customHeight="false" outlineLevel="0" collapsed="false">
      <c r="B150" s="3" t="str">
        <f aca="false">IF(COUNTIF(Final_CB_B1_V5!$B$2:$B$527,A150)&gt;=1,"YES","NO")</f>
        <v>NO</v>
      </c>
      <c r="D150" s="3" t="str">
        <f aca="false">IF(COUNTIF(Final_CB_B1_V5!$C$2:$C$527,C150)&gt;=1,"YES","NO")</f>
        <v>NO</v>
      </c>
      <c r="G150" s="4"/>
      <c r="H150" s="4"/>
    </row>
    <row r="151" customFormat="false" ht="15.75" hidden="false" customHeight="false" outlineLevel="0" collapsed="false">
      <c r="B151" s="3" t="str">
        <f aca="false">IF(COUNTIF(Final_CB_B1_V5!$B$2:$B$527,A151)&gt;=1,"YES","NO")</f>
        <v>NO</v>
      </c>
      <c r="D151" s="3" t="str">
        <f aca="false">IF(COUNTIF(Final_CB_B1_V5!$C$2:$C$527,C151)&gt;=1,"YES","NO")</f>
        <v>NO</v>
      </c>
      <c r="G151" s="4"/>
      <c r="H151" s="4"/>
    </row>
    <row r="152" customFormat="false" ht="15.75" hidden="false" customHeight="false" outlineLevel="0" collapsed="false">
      <c r="B152" s="3" t="str">
        <f aca="false">IF(COUNTIF(Final_CB_B1_V5!$B$2:$B$527,A152)&gt;=1,"YES","NO")</f>
        <v>NO</v>
      </c>
      <c r="D152" s="3" t="str">
        <f aca="false">IF(COUNTIF(Final_CB_B1_V5!$C$2:$C$527,C152)&gt;=1,"YES","NO")</f>
        <v>NO</v>
      </c>
      <c r="G152" s="4"/>
      <c r="H152" s="4"/>
    </row>
    <row r="153" customFormat="false" ht="15.75" hidden="false" customHeight="false" outlineLevel="0" collapsed="false">
      <c r="B153" s="3" t="str">
        <f aca="false">IF(COUNTIF(Final_CB_B1_V5!$B$2:$B$527,A153)&gt;=1,"YES","NO")</f>
        <v>NO</v>
      </c>
      <c r="D153" s="3" t="str">
        <f aca="false">IF(COUNTIF(Final_CB_B1_V5!$C$2:$C$527,C153)&gt;=1,"YES","NO")</f>
        <v>NO</v>
      </c>
      <c r="G153" s="4"/>
      <c r="H153" s="4"/>
    </row>
    <row r="154" customFormat="false" ht="15.75" hidden="false" customHeight="false" outlineLevel="0" collapsed="false">
      <c r="B154" s="3" t="str">
        <f aca="false">IF(COUNTIF(Final_CB_B1_V5!$B$2:$B$527,A154)&gt;=1,"YES","NO")</f>
        <v>NO</v>
      </c>
      <c r="D154" s="3" t="str">
        <f aca="false">IF(COUNTIF(Final_CB_B1_V5!$C$2:$C$527,C154)&gt;=1,"YES","NO")</f>
        <v>NO</v>
      </c>
      <c r="G154" s="4"/>
      <c r="H154" s="4"/>
    </row>
    <row r="155" customFormat="false" ht="15.75" hidden="false" customHeight="false" outlineLevel="0" collapsed="false">
      <c r="B155" s="3" t="str">
        <f aca="false">IF(COUNTIF(Final_CB_B1_V5!$B$2:$B$527,A155)&gt;=1,"YES","NO")</f>
        <v>NO</v>
      </c>
      <c r="D155" s="3" t="str">
        <f aca="false">IF(COUNTIF(Final_CB_B1_V5!$C$2:$C$527,C155)&gt;=1,"YES","NO")</f>
        <v>NO</v>
      </c>
      <c r="G155" s="4"/>
      <c r="H155" s="4"/>
    </row>
    <row r="156" customFormat="false" ht="15.75" hidden="false" customHeight="false" outlineLevel="0" collapsed="false">
      <c r="B156" s="3" t="str">
        <f aca="false">IF(COUNTIF(Final_CB_B1_V5!$B$2:$B$527,A156)&gt;=1,"YES","NO")</f>
        <v>NO</v>
      </c>
      <c r="D156" s="3" t="str">
        <f aca="false">IF(COUNTIF(Final_CB_B1_V5!$C$2:$C$527,C156)&gt;=1,"YES","NO")</f>
        <v>NO</v>
      </c>
      <c r="G156" s="4"/>
      <c r="H156" s="4"/>
    </row>
    <row r="157" customFormat="false" ht="15.75" hidden="false" customHeight="false" outlineLevel="0" collapsed="false">
      <c r="B157" s="3" t="str">
        <f aca="false">IF(COUNTIF(Final_CB_B1_V5!$B$2:$B$527,A157)&gt;=1,"YES","NO")</f>
        <v>NO</v>
      </c>
      <c r="D157" s="3" t="str">
        <f aca="false">IF(COUNTIF(Final_CB_B1_V5!$C$2:$C$527,C157)&gt;=1,"YES","NO")</f>
        <v>NO</v>
      </c>
      <c r="G157" s="4"/>
      <c r="H157" s="4"/>
    </row>
    <row r="158" customFormat="false" ht="15.75" hidden="false" customHeight="false" outlineLevel="0" collapsed="false">
      <c r="B158" s="3" t="str">
        <f aca="false">IF(COUNTIF(Final_CB_B1_V5!$B$2:$B$527,A158)&gt;=1,"YES","NO")</f>
        <v>NO</v>
      </c>
      <c r="D158" s="3" t="str">
        <f aca="false">IF(COUNTIF(Final_CB_B1_V5!$C$2:$C$527,C158)&gt;=1,"YES","NO")</f>
        <v>NO</v>
      </c>
      <c r="G158" s="4"/>
      <c r="H158" s="4"/>
    </row>
    <row r="159" customFormat="false" ht="15.75" hidden="false" customHeight="false" outlineLevel="0" collapsed="false">
      <c r="B159" s="3" t="str">
        <f aca="false">IF(COUNTIF(Final_CB_B1_V5!$B$2:$B$527,A159)&gt;=1,"YES","NO")</f>
        <v>NO</v>
      </c>
      <c r="D159" s="3" t="str">
        <f aca="false">IF(COUNTIF(Final_CB_B1_V5!$C$2:$C$527,C159)&gt;=1,"YES","NO")</f>
        <v>NO</v>
      </c>
      <c r="G159" s="4"/>
      <c r="H159" s="4"/>
    </row>
    <row r="160" customFormat="false" ht="15.75" hidden="false" customHeight="false" outlineLevel="0" collapsed="false">
      <c r="B160" s="3" t="str">
        <f aca="false">IF(COUNTIF(Final_CB_B1_V5!$B$2:$B$527,A160)&gt;=1,"YES","NO")</f>
        <v>NO</v>
      </c>
      <c r="D160" s="3" t="str">
        <f aca="false">IF(COUNTIF(Final_CB_B1_V5!$C$2:$C$527,C160)&gt;=1,"YES","NO")</f>
        <v>NO</v>
      </c>
      <c r="G160" s="4"/>
      <c r="H160" s="4"/>
    </row>
    <row r="161" customFormat="false" ht="15.75" hidden="false" customHeight="false" outlineLevel="0" collapsed="false">
      <c r="B161" s="3" t="str">
        <f aca="false">IF(COUNTIF(Final_CB_B1_V5!$B$2:$B$527,A161)&gt;=1,"YES","NO")</f>
        <v>NO</v>
      </c>
      <c r="D161" s="3" t="str">
        <f aca="false">IF(COUNTIF(Final_CB_B1_V5!$C$2:$C$527,C161)&gt;=1,"YES","NO")</f>
        <v>NO</v>
      </c>
      <c r="G161" s="4"/>
      <c r="H161" s="4"/>
    </row>
    <row r="162" customFormat="false" ht="15.75" hidden="false" customHeight="false" outlineLevel="0" collapsed="false">
      <c r="B162" s="3" t="str">
        <f aca="false">IF(COUNTIF(Final_CB_B1_V5!$B$2:$B$527,A162)&gt;=1,"YES","NO")</f>
        <v>NO</v>
      </c>
      <c r="D162" s="3" t="str">
        <f aca="false">IF(COUNTIF(Final_CB_B1_V5!$C$2:$C$527,C162)&gt;=1,"YES","NO")</f>
        <v>NO</v>
      </c>
      <c r="G162" s="4"/>
      <c r="H162" s="4"/>
    </row>
    <row r="163" customFormat="false" ht="15.75" hidden="false" customHeight="false" outlineLevel="0" collapsed="false">
      <c r="B163" s="3" t="str">
        <f aca="false">IF(COUNTIF(Final_CB_B1_V5!$B$2:$B$527,A163)&gt;=1,"YES","NO")</f>
        <v>NO</v>
      </c>
      <c r="D163" s="3" t="str">
        <f aca="false">IF(COUNTIF(Final_CB_B1_V5!$C$2:$C$527,C163)&gt;=1,"YES","NO")</f>
        <v>NO</v>
      </c>
      <c r="G163" s="4"/>
      <c r="H163" s="4"/>
    </row>
    <row r="164" customFormat="false" ht="15.75" hidden="false" customHeight="false" outlineLevel="0" collapsed="false">
      <c r="B164" s="3" t="str">
        <f aca="false">IF(COUNTIF(Final_CB_B1_V5!$B$2:$B$527,A164)&gt;=1,"YES","NO")</f>
        <v>NO</v>
      </c>
      <c r="D164" s="3" t="str">
        <f aca="false">IF(COUNTIF(Final_CB_B1_V5!$C$2:$C$527,C164)&gt;=1,"YES","NO")</f>
        <v>NO</v>
      </c>
      <c r="G164" s="4"/>
      <c r="H164" s="4"/>
    </row>
    <row r="165" customFormat="false" ht="15.75" hidden="false" customHeight="false" outlineLevel="0" collapsed="false">
      <c r="B165" s="3" t="str">
        <f aca="false">IF(COUNTIF(Final_CB_B1_V5!$B$2:$B$527,A165)&gt;=1,"YES","NO")</f>
        <v>NO</v>
      </c>
      <c r="D165" s="3" t="str">
        <f aca="false">IF(COUNTIF(Final_CB_B1_V5!$C$2:$C$527,C165)&gt;=1,"YES","NO")</f>
        <v>NO</v>
      </c>
      <c r="G165" s="4"/>
      <c r="H165" s="4"/>
    </row>
    <row r="166" customFormat="false" ht="15.75" hidden="false" customHeight="false" outlineLevel="0" collapsed="false">
      <c r="B166" s="3" t="str">
        <f aca="false">IF(COUNTIF(Final_CB_B1_V5!$B$2:$B$527,A166)&gt;=1,"YES","NO")</f>
        <v>NO</v>
      </c>
      <c r="D166" s="3" t="str">
        <f aca="false">IF(COUNTIF(Final_CB_B1_V5!$C$2:$C$527,C166)&gt;=1,"YES","NO")</f>
        <v>NO</v>
      </c>
      <c r="G166" s="4"/>
      <c r="H166" s="4"/>
    </row>
    <row r="167" customFormat="false" ht="15.75" hidden="false" customHeight="false" outlineLevel="0" collapsed="false">
      <c r="B167" s="3" t="str">
        <f aca="false">IF(COUNTIF(Final_CB_B1_V5!$B$2:$B$527,A167)&gt;=1,"YES","NO")</f>
        <v>NO</v>
      </c>
      <c r="D167" s="3" t="str">
        <f aca="false">IF(COUNTIF(Final_CB_B1_V5!$C$2:$C$527,C167)&gt;=1,"YES","NO")</f>
        <v>NO</v>
      </c>
      <c r="G167" s="4"/>
      <c r="H167" s="4"/>
    </row>
    <row r="168" customFormat="false" ht="15.75" hidden="false" customHeight="false" outlineLevel="0" collapsed="false">
      <c r="B168" s="3" t="str">
        <f aca="false">IF(COUNTIF(Final_CB_B1_V5!$B$2:$B$527,A168)&gt;=1,"YES","NO")</f>
        <v>NO</v>
      </c>
      <c r="D168" s="3" t="str">
        <f aca="false">IF(COUNTIF(Final_CB_B1_V5!$C$2:$C$527,C168)&gt;=1,"YES","NO")</f>
        <v>NO</v>
      </c>
      <c r="G168" s="4"/>
      <c r="H168" s="4"/>
    </row>
    <row r="169" customFormat="false" ht="15.75" hidden="false" customHeight="false" outlineLevel="0" collapsed="false">
      <c r="B169" s="3" t="str">
        <f aca="false">IF(COUNTIF(Final_CB_B1_V5!$B$2:$B$527,A169)&gt;=1,"YES","NO")</f>
        <v>NO</v>
      </c>
      <c r="D169" s="3" t="str">
        <f aca="false">IF(COUNTIF(Final_CB_B1_V5!$C$2:$C$527,C169)&gt;=1,"YES","NO")</f>
        <v>NO</v>
      </c>
      <c r="G169" s="4"/>
      <c r="H169" s="4"/>
    </row>
    <row r="170" customFormat="false" ht="15.75" hidden="false" customHeight="false" outlineLevel="0" collapsed="false">
      <c r="B170" s="3" t="str">
        <f aca="false">IF(COUNTIF(Final_CB_B1_V5!$B$2:$B$527,A170)&gt;=1,"YES","NO")</f>
        <v>NO</v>
      </c>
      <c r="D170" s="3" t="str">
        <f aca="false">IF(COUNTIF(Final_CB_B1_V5!$C$2:$C$527,C170)&gt;=1,"YES","NO")</f>
        <v>NO</v>
      </c>
      <c r="G170" s="4"/>
      <c r="H170" s="4"/>
    </row>
    <row r="171" customFormat="false" ht="15.75" hidden="false" customHeight="false" outlineLevel="0" collapsed="false">
      <c r="B171" s="3" t="str">
        <f aca="false">IF(COUNTIF(Final_CB_B1_V5!$B$2:$B$527,A171)&gt;=1,"YES","NO")</f>
        <v>NO</v>
      </c>
      <c r="D171" s="3" t="str">
        <f aca="false">IF(COUNTIF(Final_CB_B1_V5!$C$2:$C$527,C171)&gt;=1,"YES","NO")</f>
        <v>NO</v>
      </c>
      <c r="G171" s="4"/>
      <c r="H171" s="4"/>
    </row>
    <row r="172" customFormat="false" ht="15.75" hidden="false" customHeight="false" outlineLevel="0" collapsed="false">
      <c r="B172" s="3" t="str">
        <f aca="false">IF(COUNTIF(Final_CB_B1_V5!$B$2:$B$527,A172)&gt;=1,"YES","NO")</f>
        <v>NO</v>
      </c>
      <c r="D172" s="3" t="str">
        <f aca="false">IF(COUNTIF(Final_CB_B1_V5!$C$2:$C$527,C172)&gt;=1,"YES","NO")</f>
        <v>NO</v>
      </c>
      <c r="G172" s="4"/>
      <c r="H172" s="4"/>
    </row>
    <row r="173" customFormat="false" ht="15.75" hidden="false" customHeight="false" outlineLevel="0" collapsed="false">
      <c r="B173" s="3" t="str">
        <f aca="false">IF(COUNTIF(Final_CB_B1_V5!$B$2:$B$527,A173)&gt;=1,"YES","NO")</f>
        <v>NO</v>
      </c>
      <c r="D173" s="3" t="str">
        <f aca="false">IF(COUNTIF(Final_CB_B1_V5!$C$2:$C$527,C173)&gt;=1,"YES","NO")</f>
        <v>NO</v>
      </c>
      <c r="G173" s="4"/>
      <c r="H173" s="4"/>
    </row>
    <row r="174" customFormat="false" ht="15.75" hidden="false" customHeight="false" outlineLevel="0" collapsed="false">
      <c r="B174" s="3" t="str">
        <f aca="false">IF(COUNTIF(Final_CB_B1_V5!$B$2:$B$527,A174)&gt;=1,"YES","NO")</f>
        <v>NO</v>
      </c>
      <c r="D174" s="3" t="str">
        <f aca="false">IF(COUNTIF(Final_CB_B1_V5!$C$2:$C$527,C174)&gt;=1,"YES","NO")</f>
        <v>NO</v>
      </c>
      <c r="G174" s="4"/>
      <c r="H174" s="4"/>
    </row>
    <row r="175" customFormat="false" ht="15.75" hidden="false" customHeight="false" outlineLevel="0" collapsed="false">
      <c r="B175" s="3" t="str">
        <f aca="false">IF(COUNTIF(Final_CB_B1_V5!$B$2:$B$527,A175)&gt;=1,"YES","NO")</f>
        <v>NO</v>
      </c>
      <c r="D175" s="3" t="str">
        <f aca="false">IF(COUNTIF(Final_CB_B1_V5!$C$2:$C$527,C175)&gt;=1,"YES","NO")</f>
        <v>NO</v>
      </c>
      <c r="G175" s="4"/>
      <c r="H175" s="4"/>
    </row>
    <row r="176" customFormat="false" ht="15.75" hidden="false" customHeight="false" outlineLevel="0" collapsed="false">
      <c r="B176" s="3" t="str">
        <f aca="false">IF(COUNTIF(Final_CB_B1_V5!$B$2:$B$527,A176)&gt;=1,"YES","NO")</f>
        <v>NO</v>
      </c>
      <c r="D176" s="3" t="str">
        <f aca="false">IF(COUNTIF(Final_CB_B1_V5!$C$2:$C$527,C176)&gt;=1,"YES","NO")</f>
        <v>NO</v>
      </c>
      <c r="G176" s="4"/>
      <c r="H176" s="4"/>
    </row>
    <row r="177" customFormat="false" ht="15.75" hidden="false" customHeight="false" outlineLevel="0" collapsed="false">
      <c r="B177" s="3" t="str">
        <f aca="false">IF(COUNTIF(Final_CB_B1_V5!$B$2:$B$527,A177)&gt;=1,"YES","NO")</f>
        <v>NO</v>
      </c>
      <c r="D177" s="3" t="str">
        <f aca="false">IF(COUNTIF(Final_CB_B1_V5!$C$2:$C$527,C177)&gt;=1,"YES","NO")</f>
        <v>NO</v>
      </c>
      <c r="G177" s="4"/>
      <c r="H177" s="4"/>
    </row>
    <row r="178" customFormat="false" ht="15.75" hidden="false" customHeight="false" outlineLevel="0" collapsed="false">
      <c r="B178" s="3" t="str">
        <f aca="false">IF(COUNTIF(Final_CB_B1_V5!$B$2:$B$527,A178)&gt;=1,"YES","NO")</f>
        <v>NO</v>
      </c>
      <c r="D178" s="3" t="str">
        <f aca="false">IF(COUNTIF(Final_CB_B1_V5!$C$2:$C$527,C178)&gt;=1,"YES","NO")</f>
        <v>NO</v>
      </c>
      <c r="G178" s="4"/>
      <c r="H178" s="4"/>
    </row>
    <row r="179" customFormat="false" ht="15.75" hidden="false" customHeight="false" outlineLevel="0" collapsed="false">
      <c r="B179" s="3" t="str">
        <f aca="false">IF(COUNTIF(Final_CB_B1_V5!$B$2:$B$527,A179)&gt;=1,"YES","NO")</f>
        <v>NO</v>
      </c>
      <c r="D179" s="3" t="str">
        <f aca="false">IF(COUNTIF(Final_CB_B1_V5!$C$2:$C$527,C179)&gt;=1,"YES","NO")</f>
        <v>NO</v>
      </c>
      <c r="G179" s="4"/>
      <c r="H179" s="4"/>
    </row>
    <row r="180" customFormat="false" ht="15.75" hidden="false" customHeight="false" outlineLevel="0" collapsed="false">
      <c r="B180" s="3" t="str">
        <f aca="false">IF(COUNTIF(Final_CB_B1_V5!$B$2:$B$527,A180)&gt;=1,"YES","NO")</f>
        <v>NO</v>
      </c>
      <c r="D180" s="3" t="str">
        <f aca="false">IF(COUNTIF(Final_CB_B1_V5!$C$2:$C$527,C180)&gt;=1,"YES","NO")</f>
        <v>NO</v>
      </c>
      <c r="G180" s="4"/>
      <c r="H180" s="4"/>
    </row>
    <row r="181" customFormat="false" ht="15.75" hidden="false" customHeight="false" outlineLevel="0" collapsed="false">
      <c r="B181" s="3" t="str">
        <f aca="false">IF(COUNTIF(Final_CB_B1_V5!$B$2:$B$527,A181)&gt;=1,"YES","NO")</f>
        <v>NO</v>
      </c>
      <c r="D181" s="3" t="str">
        <f aca="false">IF(COUNTIF(Final_CB_B1_V5!$C$2:$C$527,C181)&gt;=1,"YES","NO")</f>
        <v>NO</v>
      </c>
      <c r="G181" s="4"/>
      <c r="H181" s="4"/>
    </row>
    <row r="182" customFormat="false" ht="15.75" hidden="false" customHeight="false" outlineLevel="0" collapsed="false">
      <c r="B182" s="3" t="str">
        <f aca="false">IF(COUNTIF(Final_CB_B1_V5!$B$2:$B$527,A182)&gt;=1,"YES","NO")</f>
        <v>NO</v>
      </c>
      <c r="D182" s="3" t="str">
        <f aca="false">IF(COUNTIF(Final_CB_B1_V5!$C$2:$C$527,C182)&gt;=1,"YES","NO")</f>
        <v>NO</v>
      </c>
      <c r="G182" s="4"/>
      <c r="H182" s="4"/>
    </row>
    <row r="183" customFormat="false" ht="15.75" hidden="false" customHeight="false" outlineLevel="0" collapsed="false">
      <c r="B183" s="3" t="str">
        <f aca="false">IF(COUNTIF(Final_CB_B1_V5!$B$2:$B$527,A183)&gt;=1,"YES","NO")</f>
        <v>NO</v>
      </c>
      <c r="D183" s="3" t="str">
        <f aca="false">IF(COUNTIF(Final_CB_B1_V5!$C$2:$C$527,C183)&gt;=1,"YES","NO")</f>
        <v>NO</v>
      </c>
      <c r="G183" s="4"/>
      <c r="H183" s="4"/>
    </row>
    <row r="184" customFormat="false" ht="15.75" hidden="false" customHeight="false" outlineLevel="0" collapsed="false">
      <c r="B184" s="3" t="str">
        <f aca="false">IF(COUNTIF(Final_CB_B1_V5!$B$2:$B$527,A184)&gt;=1,"YES","NO")</f>
        <v>NO</v>
      </c>
      <c r="D184" s="3" t="str">
        <f aca="false">IF(COUNTIF(Final_CB_B1_V5!$C$2:$C$527,C184)&gt;=1,"YES","NO")</f>
        <v>NO</v>
      </c>
      <c r="G184" s="4"/>
      <c r="H184" s="4"/>
    </row>
    <row r="185" customFormat="false" ht="15.75" hidden="false" customHeight="false" outlineLevel="0" collapsed="false">
      <c r="B185" s="3" t="str">
        <f aca="false">IF(COUNTIF(Final_CB_B1_V5!$B$2:$B$527,A185)&gt;=1,"YES","NO")</f>
        <v>NO</v>
      </c>
      <c r="D185" s="3" t="str">
        <f aca="false">IF(COUNTIF(Final_CB_B1_V5!$C$2:$C$527,C185)&gt;=1,"YES","NO")</f>
        <v>NO</v>
      </c>
      <c r="G185" s="4"/>
      <c r="H185" s="4"/>
    </row>
    <row r="186" customFormat="false" ht="15.75" hidden="false" customHeight="false" outlineLevel="0" collapsed="false">
      <c r="B186" s="3" t="str">
        <f aca="false">IF(COUNTIF(Final_CB_B1_V5!$B$2:$B$527,A186)&gt;=1,"YES","NO")</f>
        <v>NO</v>
      </c>
      <c r="D186" s="3" t="str">
        <f aca="false">IF(COUNTIF(Final_CB_B1_V5!$C$2:$C$527,C186)&gt;=1,"YES","NO")</f>
        <v>NO</v>
      </c>
      <c r="G186" s="4"/>
      <c r="H186" s="4"/>
    </row>
    <row r="187" customFormat="false" ht="15.75" hidden="false" customHeight="false" outlineLevel="0" collapsed="false">
      <c r="B187" s="3" t="str">
        <f aca="false">IF(COUNTIF(Final_CB_B1_V5!$B$2:$B$527,A187)&gt;=1,"YES","NO")</f>
        <v>NO</v>
      </c>
      <c r="D187" s="3" t="str">
        <f aca="false">IF(COUNTIF(Final_CB_B1_V5!$C$2:$C$527,C187)&gt;=1,"YES","NO")</f>
        <v>NO</v>
      </c>
      <c r="G187" s="4"/>
      <c r="H187" s="4"/>
    </row>
    <row r="188" customFormat="false" ht="15.75" hidden="false" customHeight="false" outlineLevel="0" collapsed="false">
      <c r="B188" s="3" t="str">
        <f aca="false">IF(COUNTIF(Final_CB_B1_V5!$B$2:$B$527,A188)&gt;=1,"YES","NO")</f>
        <v>NO</v>
      </c>
      <c r="D188" s="3" t="str">
        <f aca="false">IF(COUNTIF(Final_CB_B1_V5!$C$2:$C$527,C188)&gt;=1,"YES","NO")</f>
        <v>NO</v>
      </c>
      <c r="G188" s="4"/>
      <c r="H188" s="4"/>
    </row>
    <row r="189" customFormat="false" ht="15.75" hidden="false" customHeight="false" outlineLevel="0" collapsed="false">
      <c r="B189" s="3" t="str">
        <f aca="false">IF(COUNTIF(Final_CB_B1_V5!$B$2:$B$527,A189)&gt;=1,"YES","NO")</f>
        <v>NO</v>
      </c>
      <c r="D189" s="3" t="str">
        <f aca="false">IF(COUNTIF(Final_CB_B1_V5!$C$2:$C$527,C189)&gt;=1,"YES","NO")</f>
        <v>NO</v>
      </c>
      <c r="G189" s="4"/>
      <c r="H189" s="4"/>
    </row>
    <row r="190" customFormat="false" ht="15.75" hidden="false" customHeight="false" outlineLevel="0" collapsed="false">
      <c r="B190" s="3" t="str">
        <f aca="false">IF(COUNTIF(Final_CB_B1_V5!$B$2:$B$527,A190)&gt;=1,"YES","NO")</f>
        <v>NO</v>
      </c>
      <c r="D190" s="3" t="str">
        <f aca="false">IF(COUNTIF(Final_CB_B1_V5!$C$2:$C$527,C190)&gt;=1,"YES","NO")</f>
        <v>NO</v>
      </c>
      <c r="G190" s="4"/>
      <c r="H190" s="4"/>
    </row>
    <row r="191" customFormat="false" ht="15.75" hidden="false" customHeight="false" outlineLevel="0" collapsed="false">
      <c r="B191" s="3" t="str">
        <f aca="false">IF(COUNTIF(Final_CB_B1_V5!$B$2:$B$527,A191)&gt;=1,"YES","NO")</f>
        <v>NO</v>
      </c>
      <c r="D191" s="3" t="str">
        <f aca="false">IF(COUNTIF(Final_CB_B1_V5!$C$2:$C$527,C191)&gt;=1,"YES","NO")</f>
        <v>NO</v>
      </c>
      <c r="G191" s="4"/>
      <c r="H191" s="4"/>
    </row>
    <row r="192" customFormat="false" ht="15.75" hidden="false" customHeight="false" outlineLevel="0" collapsed="false">
      <c r="B192" s="3" t="str">
        <f aca="false">IF(COUNTIF(Final_CB_B1_V5!$B$2:$B$527,A192)&gt;=1,"YES","NO")</f>
        <v>NO</v>
      </c>
      <c r="D192" s="3" t="str">
        <f aca="false">IF(COUNTIF(Final_CB_B1_V5!$C$2:$C$527,C192)&gt;=1,"YES","NO")</f>
        <v>NO</v>
      </c>
      <c r="G192" s="4"/>
      <c r="H192" s="4"/>
    </row>
    <row r="193" customFormat="false" ht="15.75" hidden="false" customHeight="false" outlineLevel="0" collapsed="false">
      <c r="B193" s="3" t="str">
        <f aca="false">IF(COUNTIF(Final_CB_B1_V5!$B$2:$B$527,A193)&gt;=1,"YES","NO")</f>
        <v>NO</v>
      </c>
      <c r="D193" s="3" t="str">
        <f aca="false">IF(COUNTIF(Final_CB_B1_V5!$C$2:$C$527,C193)&gt;=1,"YES","NO")</f>
        <v>NO</v>
      </c>
      <c r="G193" s="4"/>
      <c r="H193" s="4"/>
    </row>
    <row r="194" customFormat="false" ht="15.75" hidden="false" customHeight="false" outlineLevel="0" collapsed="false">
      <c r="B194" s="3" t="str">
        <f aca="false">IF(COUNTIF(Final_CB_B1_V5!$B$2:$B$527,A194)&gt;=1,"YES","NO")</f>
        <v>NO</v>
      </c>
      <c r="D194" s="3" t="str">
        <f aca="false">IF(COUNTIF(Final_CB_B1_V5!$C$2:$C$527,C194)&gt;=1,"YES","NO")</f>
        <v>NO</v>
      </c>
      <c r="G194" s="4"/>
      <c r="H194" s="4"/>
    </row>
    <row r="195" customFormat="false" ht="15.75" hidden="false" customHeight="false" outlineLevel="0" collapsed="false">
      <c r="B195" s="3" t="str">
        <f aca="false">IF(COUNTIF(Final_CB_B1_V5!$B$2:$B$527,A195)&gt;=1,"YES","NO")</f>
        <v>NO</v>
      </c>
      <c r="D195" s="3" t="str">
        <f aca="false">IF(COUNTIF(Final_CB_B1_V5!$C$2:$C$527,C195)&gt;=1,"YES","NO")</f>
        <v>NO</v>
      </c>
      <c r="G195" s="4"/>
      <c r="H195" s="4"/>
    </row>
    <row r="196" customFormat="false" ht="15.75" hidden="false" customHeight="false" outlineLevel="0" collapsed="false">
      <c r="B196" s="3" t="str">
        <f aca="false">IF(COUNTIF(Final_CB_B1_V5!$B$2:$B$527,A196)&gt;=1,"YES","NO")</f>
        <v>NO</v>
      </c>
      <c r="D196" s="3" t="str">
        <f aca="false">IF(COUNTIF(Final_CB_B1_V5!$C$2:$C$527,C196)&gt;=1,"YES","NO")</f>
        <v>NO</v>
      </c>
      <c r="G196" s="4"/>
      <c r="H196" s="4"/>
    </row>
    <row r="197" customFormat="false" ht="15.75" hidden="false" customHeight="false" outlineLevel="0" collapsed="false">
      <c r="B197" s="3" t="str">
        <f aca="false">IF(COUNTIF(Final_CB_B1_V5!$B$2:$B$527,A197)&gt;=1,"YES","NO")</f>
        <v>NO</v>
      </c>
      <c r="D197" s="3" t="str">
        <f aca="false">IF(COUNTIF(Final_CB_B1_V5!$C$2:$C$527,C197)&gt;=1,"YES","NO")</f>
        <v>NO</v>
      </c>
      <c r="G197" s="4"/>
      <c r="H197" s="4"/>
    </row>
    <row r="198" customFormat="false" ht="15.75" hidden="false" customHeight="false" outlineLevel="0" collapsed="false">
      <c r="B198" s="3" t="str">
        <f aca="false">IF(COUNTIF(Final_CB_B1_V5!$B$2:$B$527,A198)&gt;=1,"YES","NO")</f>
        <v>NO</v>
      </c>
      <c r="D198" s="3" t="str">
        <f aca="false">IF(COUNTIF(Final_CB_B1_V5!$C$2:$C$527,C198)&gt;=1,"YES","NO")</f>
        <v>NO</v>
      </c>
      <c r="G198" s="4"/>
      <c r="H198" s="4"/>
    </row>
    <row r="199" customFormat="false" ht="15.75" hidden="false" customHeight="false" outlineLevel="0" collapsed="false">
      <c r="B199" s="3" t="str">
        <f aca="false">IF(COUNTIF(Final_CB_B1_V5!$B$2:$B$527,A199)&gt;=1,"YES","NO")</f>
        <v>NO</v>
      </c>
      <c r="D199" s="3" t="str">
        <f aca="false">IF(COUNTIF(Final_CB_B1_V5!$C$2:$C$527,C199)&gt;=1,"YES","NO")</f>
        <v>NO</v>
      </c>
      <c r="G199" s="4"/>
      <c r="H199" s="4"/>
    </row>
    <row r="200" customFormat="false" ht="15.75" hidden="false" customHeight="false" outlineLevel="0" collapsed="false">
      <c r="B200" s="3" t="str">
        <f aca="false">IF(COUNTIF(Final_CB_B1_V5!$B$2:$B$527,A200)&gt;=1,"YES","NO")</f>
        <v>NO</v>
      </c>
      <c r="D200" s="3" t="str">
        <f aca="false">IF(COUNTIF(Final_CB_B1_V5!$C$2:$C$527,C200)&gt;=1,"YES","NO")</f>
        <v>NO</v>
      </c>
      <c r="G200" s="4"/>
      <c r="H200" s="4"/>
    </row>
    <row r="201" customFormat="false" ht="15.75" hidden="false" customHeight="false" outlineLevel="0" collapsed="false">
      <c r="B201" s="3" t="str">
        <f aca="false">IF(COUNTIF(Final_CB_B1_V5!$B$2:$B$527,A201)&gt;=1,"YES","NO")</f>
        <v>NO</v>
      </c>
      <c r="D201" s="3" t="str">
        <f aca="false">IF(COUNTIF(Final_CB_B1_V5!$C$2:$C$527,C201)&gt;=1,"YES","NO")</f>
        <v>NO</v>
      </c>
      <c r="G201" s="4"/>
      <c r="H201" s="4"/>
    </row>
    <row r="202" customFormat="false" ht="15.75" hidden="false" customHeight="false" outlineLevel="0" collapsed="false">
      <c r="B202" s="3" t="str">
        <f aca="false">IF(COUNTIF(Final_CB_B1_V5!$B$2:$B$527,A202)&gt;=1,"YES","NO")</f>
        <v>NO</v>
      </c>
      <c r="D202" s="3" t="str">
        <f aca="false">IF(COUNTIF(Final_CB_B1_V5!$C$2:$C$527,C202)&gt;=1,"YES","NO")</f>
        <v>NO</v>
      </c>
      <c r="G202" s="4"/>
      <c r="H202" s="4"/>
    </row>
    <row r="203" customFormat="false" ht="15.75" hidden="false" customHeight="false" outlineLevel="0" collapsed="false">
      <c r="B203" s="3" t="str">
        <f aca="false">IF(COUNTIF(Final_CB_B1_V5!$B$2:$B$527,A203)&gt;=1,"YES","NO")</f>
        <v>NO</v>
      </c>
      <c r="D203" s="3" t="str">
        <f aca="false">IF(COUNTIF(Final_CB_B1_V5!$C$2:$C$527,C203)&gt;=1,"YES","NO")</f>
        <v>NO</v>
      </c>
      <c r="G203" s="4"/>
      <c r="H203" s="4"/>
    </row>
    <row r="204" customFormat="false" ht="15.75" hidden="false" customHeight="false" outlineLevel="0" collapsed="false">
      <c r="B204" s="3" t="str">
        <f aca="false">IF(COUNTIF(Final_CB_B1_V5!$B$2:$B$527,A204)&gt;=1,"YES","NO")</f>
        <v>NO</v>
      </c>
      <c r="D204" s="3" t="str">
        <f aca="false">IF(COUNTIF(Final_CB_B1_V5!$C$2:$C$527,C204)&gt;=1,"YES","NO")</f>
        <v>NO</v>
      </c>
      <c r="G204" s="4"/>
      <c r="H204" s="4"/>
    </row>
    <row r="205" customFormat="false" ht="15.75" hidden="false" customHeight="false" outlineLevel="0" collapsed="false">
      <c r="B205" s="3" t="str">
        <f aca="false">IF(COUNTIF(Final_CB_B1_V5!$B$2:$B$527,A205)&gt;=1,"YES","NO")</f>
        <v>NO</v>
      </c>
      <c r="D205" s="3" t="str">
        <f aca="false">IF(COUNTIF(Final_CB_B1_V5!$C$2:$C$527,C205)&gt;=1,"YES","NO")</f>
        <v>NO</v>
      </c>
      <c r="G205" s="4"/>
      <c r="H205" s="4"/>
    </row>
    <row r="206" customFormat="false" ht="15.75" hidden="false" customHeight="false" outlineLevel="0" collapsed="false">
      <c r="B206" s="3" t="str">
        <f aca="false">IF(COUNTIF(Final_CB_B1_V5!$B$2:$B$527,A206)&gt;=1,"YES","NO")</f>
        <v>NO</v>
      </c>
      <c r="D206" s="3" t="str">
        <f aca="false">IF(COUNTIF(Final_CB_B1_V5!$C$2:$C$527,C206)&gt;=1,"YES","NO")</f>
        <v>NO</v>
      </c>
      <c r="G206" s="4"/>
      <c r="H206" s="4"/>
    </row>
    <row r="207" customFormat="false" ht="15.75" hidden="false" customHeight="false" outlineLevel="0" collapsed="false">
      <c r="B207" s="3" t="str">
        <f aca="false">IF(COUNTIF(Final_CB_B1_V5!$B$2:$B$527,A207)&gt;=1,"YES","NO")</f>
        <v>NO</v>
      </c>
      <c r="D207" s="3" t="str">
        <f aca="false">IF(COUNTIF(Final_CB_B1_V5!$C$2:$C$527,C207)&gt;=1,"YES","NO")</f>
        <v>NO</v>
      </c>
      <c r="G207" s="4"/>
      <c r="H207" s="4"/>
    </row>
    <row r="208" customFormat="false" ht="15.75" hidden="false" customHeight="false" outlineLevel="0" collapsed="false">
      <c r="B208" s="3" t="str">
        <f aca="false">IF(COUNTIF(Final_CB_B1_V5!$B$2:$B$527,A208)&gt;=1,"YES","NO")</f>
        <v>NO</v>
      </c>
      <c r="D208" s="3" t="str">
        <f aca="false">IF(COUNTIF(Final_CB_B1_V5!$C$2:$C$527,C208)&gt;=1,"YES","NO")</f>
        <v>NO</v>
      </c>
      <c r="G208" s="4"/>
      <c r="H208" s="4"/>
    </row>
    <row r="209" customFormat="false" ht="15.75" hidden="false" customHeight="false" outlineLevel="0" collapsed="false">
      <c r="B209" s="3" t="str">
        <f aca="false">IF(COUNTIF(Final_CB_B1_V5!$B$2:$B$527,A209)&gt;=1,"YES","NO")</f>
        <v>NO</v>
      </c>
      <c r="D209" s="3" t="str">
        <f aca="false">IF(COUNTIF(Final_CB_B1_V5!$C$2:$C$527,C209)&gt;=1,"YES","NO")</f>
        <v>NO</v>
      </c>
      <c r="G209" s="4"/>
      <c r="H209" s="4"/>
    </row>
    <row r="210" customFormat="false" ht="15.75" hidden="false" customHeight="false" outlineLevel="0" collapsed="false">
      <c r="B210" s="3" t="str">
        <f aca="false">IF(COUNTIF(Final_CB_B1_V5!$B$2:$B$527,A210)&gt;=1,"YES","NO")</f>
        <v>NO</v>
      </c>
      <c r="D210" s="3" t="str">
        <f aca="false">IF(COUNTIF(Final_CB_B1_V5!$C$2:$C$527,C210)&gt;=1,"YES","NO")</f>
        <v>NO</v>
      </c>
      <c r="G210" s="4"/>
      <c r="H210" s="4"/>
    </row>
    <row r="211" customFormat="false" ht="15.75" hidden="false" customHeight="false" outlineLevel="0" collapsed="false">
      <c r="B211" s="3" t="str">
        <f aca="false">IF(COUNTIF(Final_CB_B1_V5!$B$2:$B$527,A211)&gt;=1,"YES","NO")</f>
        <v>NO</v>
      </c>
      <c r="D211" s="3" t="str">
        <f aca="false">IF(COUNTIF(Final_CB_B1_V5!$C$2:$C$527,C211)&gt;=1,"YES","NO")</f>
        <v>NO</v>
      </c>
      <c r="G211" s="4"/>
      <c r="H211" s="4"/>
    </row>
    <row r="212" customFormat="false" ht="15.75" hidden="false" customHeight="false" outlineLevel="0" collapsed="false">
      <c r="B212" s="3" t="str">
        <f aca="false">IF(COUNTIF(Final_CB_B1_V5!$B$2:$B$527,A212)&gt;=1,"YES","NO")</f>
        <v>NO</v>
      </c>
      <c r="D212" s="3" t="str">
        <f aca="false">IF(COUNTIF(Final_CB_B1_V5!$C$2:$C$527,C212)&gt;=1,"YES","NO")</f>
        <v>NO</v>
      </c>
      <c r="G212" s="4"/>
      <c r="H212" s="4"/>
    </row>
    <row r="213" customFormat="false" ht="15.75" hidden="false" customHeight="false" outlineLevel="0" collapsed="false">
      <c r="B213" s="3" t="str">
        <f aca="false">IF(COUNTIF(Final_CB_B1_V5!$B$2:$B$527,A213)&gt;=1,"YES","NO")</f>
        <v>NO</v>
      </c>
      <c r="D213" s="3" t="str">
        <f aca="false">IF(COUNTIF(Final_CB_B1_V5!$C$2:$C$527,C213)&gt;=1,"YES","NO")</f>
        <v>NO</v>
      </c>
      <c r="G213" s="4"/>
      <c r="H213" s="4"/>
    </row>
    <row r="214" customFormat="false" ht="15.75" hidden="false" customHeight="false" outlineLevel="0" collapsed="false">
      <c r="B214" s="3" t="str">
        <f aca="false">IF(COUNTIF(Final_CB_B1_V5!$B$2:$B$527,A214)&gt;=1,"YES","NO")</f>
        <v>NO</v>
      </c>
      <c r="D214" s="3" t="str">
        <f aca="false">IF(COUNTIF(Final_CB_B1_V5!$C$2:$C$527,C214)&gt;=1,"YES","NO")</f>
        <v>NO</v>
      </c>
      <c r="G214" s="4"/>
      <c r="H214" s="4"/>
    </row>
    <row r="215" customFormat="false" ht="15.75" hidden="false" customHeight="false" outlineLevel="0" collapsed="false">
      <c r="B215" s="3" t="str">
        <f aca="false">IF(COUNTIF(Final_CB_B1_V5!$B$2:$B$527,A215)&gt;=1,"YES","NO")</f>
        <v>NO</v>
      </c>
      <c r="D215" s="3" t="str">
        <f aca="false">IF(COUNTIF(Final_CB_B1_V5!$C$2:$C$527,C215)&gt;=1,"YES","NO")</f>
        <v>NO</v>
      </c>
      <c r="G215" s="4"/>
      <c r="H215" s="4"/>
    </row>
    <row r="216" customFormat="false" ht="15.75" hidden="false" customHeight="false" outlineLevel="0" collapsed="false">
      <c r="B216" s="3" t="str">
        <f aca="false">IF(COUNTIF(Final_CB_B1_V5!$B$2:$B$527,A216)&gt;=1,"YES","NO")</f>
        <v>NO</v>
      </c>
      <c r="D216" s="3" t="str">
        <f aca="false">IF(COUNTIF(Final_CB_B1_V5!$C$2:$C$527,C216)&gt;=1,"YES","NO")</f>
        <v>NO</v>
      </c>
      <c r="G216" s="4"/>
      <c r="H216" s="4"/>
    </row>
    <row r="217" customFormat="false" ht="15.75" hidden="false" customHeight="false" outlineLevel="0" collapsed="false">
      <c r="B217" s="3" t="str">
        <f aca="false">IF(COUNTIF(Final_CB_B1_V5!$B$2:$B$527,A217)&gt;=1,"YES","NO")</f>
        <v>NO</v>
      </c>
      <c r="D217" s="3" t="str">
        <f aca="false">IF(COUNTIF(Final_CB_B1_V5!$C$2:$C$527,C217)&gt;=1,"YES","NO")</f>
        <v>NO</v>
      </c>
      <c r="G217" s="4"/>
      <c r="H217" s="4"/>
    </row>
    <row r="218" customFormat="false" ht="15.75" hidden="false" customHeight="false" outlineLevel="0" collapsed="false">
      <c r="B218" s="3" t="str">
        <f aca="false">IF(COUNTIF(Final_CB_B1_V5!$B$2:$B$527,A218)&gt;=1,"YES","NO")</f>
        <v>NO</v>
      </c>
      <c r="D218" s="3" t="str">
        <f aca="false">IF(COUNTIF(Final_CB_B1_V5!$C$2:$C$527,C218)&gt;=1,"YES","NO")</f>
        <v>NO</v>
      </c>
      <c r="G218" s="4"/>
      <c r="H218" s="4"/>
    </row>
    <row r="219" customFormat="false" ht="15.75" hidden="false" customHeight="false" outlineLevel="0" collapsed="false">
      <c r="B219" s="3" t="str">
        <f aca="false">IF(COUNTIF(Final_CB_B1_V5!$B$2:$B$527,A219)&gt;=1,"YES","NO")</f>
        <v>NO</v>
      </c>
      <c r="D219" s="3" t="str">
        <f aca="false">IF(COUNTIF(Final_CB_B1_V5!$C$2:$C$527,C219)&gt;=1,"YES","NO")</f>
        <v>NO</v>
      </c>
      <c r="G219" s="4"/>
      <c r="H219" s="4"/>
    </row>
    <row r="220" customFormat="false" ht="15.75" hidden="false" customHeight="false" outlineLevel="0" collapsed="false">
      <c r="B220" s="3" t="str">
        <f aca="false">IF(COUNTIF(Final_CB_B1_V5!$B$2:$B$527,A220)&gt;=1,"YES","NO")</f>
        <v>NO</v>
      </c>
      <c r="D220" s="3" t="str">
        <f aca="false">IF(COUNTIF(Final_CB_B1_V5!$C$2:$C$527,C220)&gt;=1,"YES","NO")</f>
        <v>NO</v>
      </c>
      <c r="G220" s="4"/>
      <c r="H220" s="4"/>
    </row>
    <row r="221" customFormat="false" ht="15.75" hidden="false" customHeight="false" outlineLevel="0" collapsed="false">
      <c r="B221" s="3" t="str">
        <f aca="false">IF(COUNTIF(Final_CB_B1_V5!$B$2:$B$527,A221)&gt;=1,"YES","NO")</f>
        <v>NO</v>
      </c>
      <c r="D221" s="3" t="str">
        <f aca="false">IF(COUNTIF(Final_CB_B1_V5!$C$2:$C$527,C221)&gt;=1,"YES","NO")</f>
        <v>NO</v>
      </c>
      <c r="G221" s="4"/>
      <c r="H221" s="4"/>
    </row>
    <row r="222" customFormat="false" ht="15.75" hidden="false" customHeight="false" outlineLevel="0" collapsed="false">
      <c r="B222" s="3" t="str">
        <f aca="false">IF(COUNTIF(Final_CB_B1_V5!$B$2:$B$527,A222)&gt;=1,"YES","NO")</f>
        <v>NO</v>
      </c>
      <c r="D222" s="3" t="str">
        <f aca="false">IF(COUNTIF(Final_CB_B1_V5!$C$2:$C$527,C222)&gt;=1,"YES","NO")</f>
        <v>NO</v>
      </c>
      <c r="G222" s="4"/>
      <c r="H222" s="4"/>
    </row>
    <row r="223" customFormat="false" ht="15.75" hidden="false" customHeight="false" outlineLevel="0" collapsed="false">
      <c r="B223" s="3" t="str">
        <f aca="false">IF(COUNTIF(Final_CB_B1_V5!$B$2:$B$527,A223)&gt;=1,"YES","NO")</f>
        <v>NO</v>
      </c>
      <c r="D223" s="3" t="str">
        <f aca="false">IF(COUNTIF(Final_CB_B1_V5!$C$2:$C$527,C223)&gt;=1,"YES","NO")</f>
        <v>NO</v>
      </c>
      <c r="G223" s="4"/>
      <c r="H223" s="4"/>
    </row>
    <row r="224" customFormat="false" ht="15.75" hidden="false" customHeight="false" outlineLevel="0" collapsed="false">
      <c r="B224" s="3" t="str">
        <f aca="false">IF(COUNTIF(Final_CB_B1_V5!$B$2:$B$527,A224)&gt;=1,"YES","NO")</f>
        <v>NO</v>
      </c>
      <c r="D224" s="3" t="str">
        <f aca="false">IF(COUNTIF(Final_CB_B1_V5!$C$2:$C$527,C224)&gt;=1,"YES","NO")</f>
        <v>NO</v>
      </c>
      <c r="G224" s="4"/>
      <c r="H224" s="4"/>
    </row>
    <row r="225" customFormat="false" ht="15.75" hidden="false" customHeight="false" outlineLevel="0" collapsed="false">
      <c r="B225" s="3" t="str">
        <f aca="false">IF(COUNTIF(Final_CB_B1_V5!$B$2:$B$527,A225)&gt;=1,"YES","NO")</f>
        <v>NO</v>
      </c>
      <c r="D225" s="3" t="str">
        <f aca="false">IF(COUNTIF(Final_CB_B1_V5!$C$2:$C$527,C225)&gt;=1,"YES","NO")</f>
        <v>NO</v>
      </c>
      <c r="G225" s="4"/>
      <c r="H225" s="4"/>
    </row>
    <row r="226" customFormat="false" ht="15.75" hidden="false" customHeight="false" outlineLevel="0" collapsed="false">
      <c r="B226" s="3" t="str">
        <f aca="false">IF(COUNTIF(Final_CB_B1_V5!$B$2:$B$527,A226)&gt;=1,"YES","NO")</f>
        <v>NO</v>
      </c>
      <c r="D226" s="3" t="str">
        <f aca="false">IF(COUNTIF(Final_CB_B1_V5!$C$2:$C$527,C226)&gt;=1,"YES","NO")</f>
        <v>NO</v>
      </c>
      <c r="G226" s="4"/>
      <c r="H226" s="4"/>
    </row>
    <row r="227" customFormat="false" ht="15.75" hidden="false" customHeight="false" outlineLevel="0" collapsed="false">
      <c r="B227" s="3" t="str">
        <f aca="false">IF(COUNTIF(Final_CB_B1_V5!$B$2:$B$527,A227)&gt;=1,"YES","NO")</f>
        <v>NO</v>
      </c>
      <c r="D227" s="3" t="str">
        <f aca="false">IF(COUNTIF(Final_CB_B1_V5!$C$2:$C$527,C227)&gt;=1,"YES","NO")</f>
        <v>NO</v>
      </c>
      <c r="G227" s="4"/>
      <c r="H227" s="4"/>
    </row>
    <row r="228" customFormat="false" ht="15.75" hidden="false" customHeight="false" outlineLevel="0" collapsed="false">
      <c r="B228" s="3" t="str">
        <f aca="false">IF(COUNTIF(Final_CB_B1_V5!$B$2:$B$527,A228)&gt;=1,"YES","NO")</f>
        <v>NO</v>
      </c>
      <c r="D228" s="3" t="str">
        <f aca="false">IF(COUNTIF(Final_CB_B1_V5!$C$2:$C$527,C228)&gt;=1,"YES","NO")</f>
        <v>NO</v>
      </c>
      <c r="G228" s="4"/>
      <c r="H228" s="4"/>
    </row>
    <row r="229" customFormat="false" ht="15.75" hidden="false" customHeight="false" outlineLevel="0" collapsed="false">
      <c r="B229" s="3" t="str">
        <f aca="false">IF(COUNTIF(Final_CB_B1_V5!$B$2:$B$527,A229)&gt;=1,"YES","NO")</f>
        <v>NO</v>
      </c>
      <c r="D229" s="3" t="str">
        <f aca="false">IF(COUNTIF(Final_CB_B1_V5!$C$2:$C$527,C229)&gt;=1,"YES","NO")</f>
        <v>NO</v>
      </c>
      <c r="G229" s="4"/>
      <c r="H229" s="4"/>
    </row>
    <row r="230" customFormat="false" ht="15.75" hidden="false" customHeight="false" outlineLevel="0" collapsed="false">
      <c r="B230" s="3" t="str">
        <f aca="false">IF(COUNTIF(Final_CB_B1_V5!$B$2:$B$527,A230)&gt;=1,"YES","NO")</f>
        <v>NO</v>
      </c>
      <c r="D230" s="3" t="str">
        <f aca="false">IF(COUNTIF(Final_CB_B1_V5!$C$2:$C$527,C230)&gt;=1,"YES","NO")</f>
        <v>NO</v>
      </c>
      <c r="G230" s="4"/>
      <c r="H230" s="4"/>
    </row>
    <row r="231" customFormat="false" ht="15.75" hidden="false" customHeight="false" outlineLevel="0" collapsed="false">
      <c r="B231" s="3" t="str">
        <f aca="false">IF(COUNTIF(Final_CB_B1_V5!$B$2:$B$527,A231)&gt;=1,"YES","NO")</f>
        <v>NO</v>
      </c>
      <c r="D231" s="3" t="str">
        <f aca="false">IF(COUNTIF(Final_CB_B1_V5!$C$2:$C$527,C231)&gt;=1,"YES","NO")</f>
        <v>NO</v>
      </c>
      <c r="G231" s="4"/>
      <c r="H231" s="4"/>
    </row>
    <row r="232" customFormat="false" ht="15.75" hidden="false" customHeight="false" outlineLevel="0" collapsed="false">
      <c r="B232" s="3" t="str">
        <f aca="false">IF(COUNTIF(Final_CB_B1_V5!$B$2:$B$527,A232)&gt;=1,"YES","NO")</f>
        <v>NO</v>
      </c>
      <c r="D232" s="3" t="str">
        <f aca="false">IF(COUNTIF(Final_CB_B1_V5!$C$2:$C$527,C232)&gt;=1,"YES","NO")</f>
        <v>NO</v>
      </c>
      <c r="G232" s="4"/>
      <c r="H232" s="4"/>
    </row>
    <row r="233" customFormat="false" ht="15.75" hidden="false" customHeight="false" outlineLevel="0" collapsed="false">
      <c r="B233" s="3" t="str">
        <f aca="false">IF(COUNTIF(Final_CB_B1_V5!$B$2:$B$527,A233)&gt;=1,"YES","NO")</f>
        <v>NO</v>
      </c>
      <c r="D233" s="3" t="str">
        <f aca="false">IF(COUNTIF(Final_CB_B1_V5!$C$2:$C$527,C233)&gt;=1,"YES","NO")</f>
        <v>NO</v>
      </c>
      <c r="G233" s="4"/>
      <c r="H233" s="4"/>
    </row>
    <row r="234" customFormat="false" ht="15.75" hidden="false" customHeight="false" outlineLevel="0" collapsed="false">
      <c r="B234" s="3" t="str">
        <f aca="false">IF(COUNTIF(Final_CB_B1_V5!$B$2:$B$527,A234)&gt;=1,"YES","NO")</f>
        <v>NO</v>
      </c>
      <c r="D234" s="3" t="str">
        <f aca="false">IF(COUNTIF(Final_CB_B1_V5!$C$2:$C$527,C234)&gt;=1,"YES","NO")</f>
        <v>NO</v>
      </c>
      <c r="G234" s="4"/>
      <c r="H234" s="4"/>
    </row>
    <row r="235" customFormat="false" ht="15.75" hidden="false" customHeight="false" outlineLevel="0" collapsed="false">
      <c r="B235" s="3" t="str">
        <f aca="false">IF(COUNTIF(Final_CB_B1_V5!$B$2:$B$527,A235)&gt;=1,"YES","NO")</f>
        <v>NO</v>
      </c>
      <c r="D235" s="3" t="str">
        <f aca="false">IF(COUNTIF(Final_CB_B1_V5!$C$2:$C$527,C235)&gt;=1,"YES","NO")</f>
        <v>NO</v>
      </c>
      <c r="G235" s="4"/>
      <c r="H235" s="4"/>
    </row>
    <row r="236" customFormat="false" ht="15.75" hidden="false" customHeight="false" outlineLevel="0" collapsed="false">
      <c r="B236" s="3" t="str">
        <f aca="false">IF(COUNTIF(Final_CB_B1_V5!$B$2:$B$527,A236)&gt;=1,"YES","NO")</f>
        <v>NO</v>
      </c>
      <c r="D236" s="3" t="str">
        <f aca="false">IF(COUNTIF(Final_CB_B1_V5!$C$2:$C$527,C236)&gt;=1,"YES","NO")</f>
        <v>NO</v>
      </c>
      <c r="G236" s="4"/>
      <c r="H236" s="4"/>
    </row>
    <row r="237" customFormat="false" ht="15.75" hidden="false" customHeight="false" outlineLevel="0" collapsed="false">
      <c r="B237" s="3" t="str">
        <f aca="false">IF(COUNTIF(Final_CB_B1_V5!$B$2:$B$527,A237)&gt;=1,"YES","NO")</f>
        <v>NO</v>
      </c>
      <c r="D237" s="3" t="str">
        <f aca="false">IF(COUNTIF(Final_CB_B1_V5!$C$2:$C$527,C237)&gt;=1,"YES","NO")</f>
        <v>NO</v>
      </c>
      <c r="G237" s="4"/>
      <c r="H237" s="4"/>
    </row>
    <row r="238" customFormat="false" ht="15.75" hidden="false" customHeight="false" outlineLevel="0" collapsed="false">
      <c r="B238" s="3" t="str">
        <f aca="false">IF(COUNTIF(Final_CB_B1_V5!$B$2:$B$527,A238)&gt;=1,"YES","NO")</f>
        <v>NO</v>
      </c>
      <c r="D238" s="3" t="str">
        <f aca="false">IF(COUNTIF(Final_CB_B1_V5!$C$2:$C$527,C238)&gt;=1,"YES","NO")</f>
        <v>NO</v>
      </c>
      <c r="G238" s="4"/>
      <c r="H238" s="4"/>
    </row>
    <row r="239" customFormat="false" ht="15.75" hidden="false" customHeight="false" outlineLevel="0" collapsed="false">
      <c r="B239" s="3" t="str">
        <f aca="false">IF(COUNTIF(Final_CB_B1_V5!$B$2:$B$527,A239)&gt;=1,"YES","NO")</f>
        <v>NO</v>
      </c>
      <c r="D239" s="3" t="str">
        <f aca="false">IF(COUNTIF(Final_CB_B1_V5!$C$2:$C$527,C239)&gt;=1,"YES","NO")</f>
        <v>NO</v>
      </c>
      <c r="G239" s="4"/>
      <c r="H239" s="4"/>
    </row>
    <row r="240" customFormat="false" ht="15.75" hidden="false" customHeight="false" outlineLevel="0" collapsed="false">
      <c r="B240" s="3" t="str">
        <f aca="false">IF(COUNTIF(Final_CB_B1_V5!$B$2:$B$527,A240)&gt;=1,"YES","NO")</f>
        <v>NO</v>
      </c>
      <c r="D240" s="3" t="str">
        <f aca="false">IF(COUNTIF(Final_CB_B1_V5!$C$2:$C$527,C240)&gt;=1,"YES","NO")</f>
        <v>NO</v>
      </c>
      <c r="G240" s="4"/>
      <c r="H240" s="4"/>
    </row>
    <row r="241" customFormat="false" ht="15.75" hidden="false" customHeight="false" outlineLevel="0" collapsed="false">
      <c r="B241" s="3" t="str">
        <f aca="false">IF(COUNTIF(Final_CB_B1_V5!$B$2:$B$527,A241)&gt;=1,"YES","NO")</f>
        <v>NO</v>
      </c>
      <c r="D241" s="3" t="str">
        <f aca="false">IF(COUNTIF(Final_CB_B1_V5!$C$2:$C$527,C241)&gt;=1,"YES","NO")</f>
        <v>NO</v>
      </c>
      <c r="G241" s="4"/>
      <c r="H241" s="4"/>
    </row>
    <row r="242" customFormat="false" ht="15.75" hidden="false" customHeight="false" outlineLevel="0" collapsed="false">
      <c r="B242" s="3" t="str">
        <f aca="false">IF(COUNTIF(Final_CB_B1_V5!$B$2:$B$527,A242)&gt;=1,"YES","NO")</f>
        <v>NO</v>
      </c>
      <c r="D242" s="3" t="str">
        <f aca="false">IF(COUNTIF(Final_CB_B1_V5!$C$2:$C$527,C242)&gt;=1,"YES","NO")</f>
        <v>NO</v>
      </c>
      <c r="G242" s="4"/>
      <c r="H242" s="4"/>
    </row>
    <row r="243" customFormat="false" ht="15.75" hidden="false" customHeight="false" outlineLevel="0" collapsed="false">
      <c r="B243" s="3" t="str">
        <f aca="false">IF(COUNTIF(Final_CB_B1_V5!$B$2:$B$527,A243)&gt;=1,"YES","NO")</f>
        <v>NO</v>
      </c>
      <c r="D243" s="3" t="str">
        <f aca="false">IF(COUNTIF(Final_CB_B1_V5!$C$2:$C$527,C243)&gt;=1,"YES","NO")</f>
        <v>NO</v>
      </c>
      <c r="G243" s="4"/>
      <c r="H243" s="4"/>
    </row>
    <row r="244" customFormat="false" ht="15.75" hidden="false" customHeight="false" outlineLevel="0" collapsed="false">
      <c r="B244" s="3" t="str">
        <f aca="false">IF(COUNTIF(Final_CB_B1_V5!$B$2:$B$527,A244)&gt;=1,"YES","NO")</f>
        <v>NO</v>
      </c>
      <c r="D244" s="3" t="str">
        <f aca="false">IF(COUNTIF(Final_CB_B1_V5!$C$2:$C$527,C244)&gt;=1,"YES","NO")</f>
        <v>NO</v>
      </c>
      <c r="G244" s="4"/>
      <c r="H244" s="4"/>
    </row>
    <row r="245" customFormat="false" ht="15.75" hidden="false" customHeight="false" outlineLevel="0" collapsed="false">
      <c r="B245" s="3" t="str">
        <f aca="false">IF(COUNTIF(Final_CB_B1_V5!$B$2:$B$527,A245)&gt;=1,"YES","NO")</f>
        <v>NO</v>
      </c>
      <c r="D245" s="3" t="str">
        <f aca="false">IF(COUNTIF(Final_CB_B1_V5!$C$2:$C$527,C245)&gt;=1,"YES","NO")</f>
        <v>NO</v>
      </c>
      <c r="G245" s="4"/>
      <c r="H245" s="4"/>
    </row>
    <row r="246" customFormat="false" ht="15.75" hidden="false" customHeight="false" outlineLevel="0" collapsed="false">
      <c r="B246" s="3" t="str">
        <f aca="false">IF(COUNTIF(Final_CB_B1_V5!$B$2:$B$527,A246)&gt;=1,"YES","NO")</f>
        <v>NO</v>
      </c>
      <c r="D246" s="3" t="str">
        <f aca="false">IF(COUNTIF(Final_CB_B1_V5!$C$2:$C$527,C246)&gt;=1,"YES","NO")</f>
        <v>NO</v>
      </c>
      <c r="G246" s="4"/>
      <c r="H246" s="4"/>
    </row>
    <row r="247" customFormat="false" ht="15.75" hidden="false" customHeight="false" outlineLevel="0" collapsed="false">
      <c r="B247" s="3" t="str">
        <f aca="false">IF(COUNTIF(Final_CB_B1_V5!$B$2:$B$527,A247)&gt;=1,"YES","NO")</f>
        <v>NO</v>
      </c>
      <c r="D247" s="3" t="str">
        <f aca="false">IF(COUNTIF(Final_CB_B1_V5!$C$2:$C$527,C247)&gt;=1,"YES","NO")</f>
        <v>NO</v>
      </c>
      <c r="G247" s="4"/>
      <c r="H247" s="4"/>
    </row>
    <row r="248" customFormat="false" ht="15.75" hidden="false" customHeight="false" outlineLevel="0" collapsed="false">
      <c r="B248" s="3" t="str">
        <f aca="false">IF(COUNTIF(Final_CB_B1_V5!$B$2:$B$527,A248)&gt;=1,"YES","NO")</f>
        <v>NO</v>
      </c>
      <c r="D248" s="3" t="str">
        <f aca="false">IF(COUNTIF(Final_CB_B1_V5!$C$2:$C$527,C248)&gt;=1,"YES","NO")</f>
        <v>NO</v>
      </c>
      <c r="G248" s="4"/>
      <c r="H248" s="4"/>
    </row>
    <row r="249" customFormat="false" ht="15.75" hidden="false" customHeight="false" outlineLevel="0" collapsed="false">
      <c r="B249" s="3" t="str">
        <f aca="false">IF(COUNTIF(Final_CB_B1_V5!$B$2:$B$527,A249)&gt;=1,"YES","NO")</f>
        <v>NO</v>
      </c>
      <c r="D249" s="3" t="str">
        <f aca="false">IF(COUNTIF(Final_CB_B1_V5!$C$2:$C$527,C249)&gt;=1,"YES","NO")</f>
        <v>NO</v>
      </c>
      <c r="G249" s="4"/>
      <c r="H249" s="4"/>
    </row>
    <row r="250" customFormat="false" ht="15.75" hidden="false" customHeight="false" outlineLevel="0" collapsed="false">
      <c r="B250" s="3" t="str">
        <f aca="false">IF(COUNTIF(Final_CB_B1_V5!$B$2:$B$527,A250)&gt;=1,"YES","NO")</f>
        <v>NO</v>
      </c>
      <c r="D250" s="3" t="str">
        <f aca="false">IF(COUNTIF(Final_CB_B1_V5!$C$2:$C$527,C250)&gt;=1,"YES","NO")</f>
        <v>NO</v>
      </c>
      <c r="G250" s="4"/>
      <c r="H250" s="4"/>
    </row>
    <row r="251" customFormat="false" ht="15.75" hidden="false" customHeight="false" outlineLevel="0" collapsed="false">
      <c r="B251" s="3" t="str">
        <f aca="false">IF(COUNTIF(Final_CB_B1_V5!$B$2:$B$527,A251)&gt;=1,"YES","NO")</f>
        <v>NO</v>
      </c>
      <c r="D251" s="3" t="str">
        <f aca="false">IF(COUNTIF(Final_CB_B1_V5!$C$2:$C$527,C251)&gt;=1,"YES","NO")</f>
        <v>NO</v>
      </c>
      <c r="G251" s="4"/>
      <c r="H251" s="4"/>
    </row>
    <row r="252" customFormat="false" ht="15.75" hidden="false" customHeight="false" outlineLevel="0" collapsed="false">
      <c r="B252" s="3" t="str">
        <f aca="false">IF(COUNTIF(Final_CB_B1_V5!$B$2:$B$527,A252)&gt;=1,"YES","NO")</f>
        <v>NO</v>
      </c>
      <c r="D252" s="3" t="str">
        <f aca="false">IF(COUNTIF(Final_CB_B1_V5!$C$2:$C$527,C252)&gt;=1,"YES","NO")</f>
        <v>NO</v>
      </c>
      <c r="G252" s="4"/>
      <c r="H252" s="4"/>
    </row>
    <row r="253" customFormat="false" ht="15.75" hidden="false" customHeight="false" outlineLevel="0" collapsed="false">
      <c r="B253" s="3" t="str">
        <f aca="false">IF(COUNTIF(Final_CB_B1_V5!$B$2:$B$527,A253)&gt;=1,"YES","NO")</f>
        <v>NO</v>
      </c>
      <c r="D253" s="3" t="str">
        <f aca="false">IF(COUNTIF(Final_CB_B1_V5!$C$2:$C$527,C253)&gt;=1,"YES","NO")</f>
        <v>NO</v>
      </c>
      <c r="G253" s="4"/>
      <c r="H253" s="4"/>
    </row>
    <row r="254" customFormat="false" ht="15.75" hidden="false" customHeight="false" outlineLevel="0" collapsed="false">
      <c r="B254" s="3" t="str">
        <f aca="false">IF(COUNTIF(Final_CB_B1_V5!$B$2:$B$527,A254)&gt;=1,"YES","NO")</f>
        <v>NO</v>
      </c>
      <c r="D254" s="3" t="str">
        <f aca="false">IF(COUNTIF(Final_CB_B1_V5!$C$2:$C$527,C254)&gt;=1,"YES","NO")</f>
        <v>NO</v>
      </c>
      <c r="G254" s="4"/>
      <c r="H254" s="4"/>
    </row>
    <row r="255" customFormat="false" ht="15.75" hidden="false" customHeight="false" outlineLevel="0" collapsed="false">
      <c r="B255" s="3" t="str">
        <f aca="false">IF(COUNTIF(Final_CB_B1_V5!$B$2:$B$527,A255)&gt;=1,"YES","NO")</f>
        <v>NO</v>
      </c>
      <c r="D255" s="3" t="str">
        <f aca="false">IF(COUNTIF(Final_CB_B1_V5!$C$2:$C$527,C255)&gt;=1,"YES","NO")</f>
        <v>NO</v>
      </c>
      <c r="G255" s="4"/>
      <c r="H255" s="4"/>
    </row>
    <row r="256" customFormat="false" ht="15.75" hidden="false" customHeight="false" outlineLevel="0" collapsed="false">
      <c r="B256" s="3" t="str">
        <f aca="false">IF(COUNTIF(Final_CB_B1_V5!$B$2:$B$527,A256)&gt;=1,"YES","NO")</f>
        <v>NO</v>
      </c>
      <c r="D256" s="3" t="str">
        <f aca="false">IF(COUNTIF(Final_CB_B1_V5!$C$2:$C$527,C256)&gt;=1,"YES","NO")</f>
        <v>NO</v>
      </c>
      <c r="G256" s="4"/>
      <c r="H256" s="4"/>
    </row>
    <row r="257" customFormat="false" ht="15.75" hidden="false" customHeight="false" outlineLevel="0" collapsed="false">
      <c r="B257" s="3" t="str">
        <f aca="false">IF(COUNTIF(Final_CB_B1_V5!$B$2:$B$527,A257)&gt;=1,"YES","NO")</f>
        <v>NO</v>
      </c>
      <c r="D257" s="3" t="str">
        <f aca="false">IF(COUNTIF(Final_CB_B1_V5!$C$2:$C$527,C257)&gt;=1,"YES","NO")</f>
        <v>NO</v>
      </c>
      <c r="G257" s="4"/>
      <c r="H257" s="4"/>
    </row>
    <row r="258" customFormat="false" ht="15.75" hidden="false" customHeight="false" outlineLevel="0" collapsed="false">
      <c r="B258" s="3" t="str">
        <f aca="false">IF(COUNTIF(Final_CB_B1_V5!$B$2:$B$527,A258)&gt;=1,"YES","NO")</f>
        <v>NO</v>
      </c>
      <c r="D258" s="3" t="str">
        <f aca="false">IF(COUNTIF(Final_CB_B1_V5!$C$2:$C$527,C258)&gt;=1,"YES","NO")</f>
        <v>NO</v>
      </c>
      <c r="G258" s="4"/>
      <c r="H258" s="4"/>
    </row>
    <row r="259" customFormat="false" ht="15.75" hidden="false" customHeight="false" outlineLevel="0" collapsed="false">
      <c r="B259" s="3" t="str">
        <f aca="false">IF(COUNTIF(Final_CB_B1_V5!$B$2:$B$527,A259)&gt;=1,"YES","NO")</f>
        <v>NO</v>
      </c>
      <c r="D259" s="3" t="str">
        <f aca="false">IF(COUNTIF(Final_CB_B1_V5!$C$2:$C$527,C259)&gt;=1,"YES","NO")</f>
        <v>NO</v>
      </c>
      <c r="G259" s="4"/>
      <c r="H259" s="4"/>
    </row>
    <row r="260" customFormat="false" ht="15.75" hidden="false" customHeight="false" outlineLevel="0" collapsed="false">
      <c r="B260" s="3" t="str">
        <f aca="false">IF(COUNTIF(Final_CB_B1_V5!$B$2:$B$527,A260)&gt;=1,"YES","NO")</f>
        <v>NO</v>
      </c>
      <c r="D260" s="3" t="str">
        <f aca="false">IF(COUNTIF(Final_CB_B1_V5!$C$2:$C$527,C260)&gt;=1,"YES","NO")</f>
        <v>NO</v>
      </c>
      <c r="G260" s="4"/>
      <c r="H260" s="4"/>
    </row>
    <row r="261" customFormat="false" ht="15.75" hidden="false" customHeight="false" outlineLevel="0" collapsed="false">
      <c r="B261" s="3" t="str">
        <f aca="false">IF(COUNTIF(Final_CB_B1_V5!$B$2:$B$527,A261)&gt;=1,"YES","NO")</f>
        <v>NO</v>
      </c>
      <c r="D261" s="3" t="str">
        <f aca="false">IF(COUNTIF(Final_CB_B1_V5!$C$2:$C$527,C261)&gt;=1,"YES","NO")</f>
        <v>NO</v>
      </c>
      <c r="G261" s="4"/>
      <c r="H261" s="4"/>
    </row>
    <row r="262" customFormat="false" ht="15.75" hidden="false" customHeight="false" outlineLevel="0" collapsed="false">
      <c r="B262" s="3" t="str">
        <f aca="false">IF(COUNTIF(Final_CB_B1_V5!$B$2:$B$527,A262)&gt;=1,"YES","NO")</f>
        <v>NO</v>
      </c>
      <c r="D262" s="3" t="str">
        <f aca="false">IF(COUNTIF(Final_CB_B1_V5!$C$2:$C$527,C262)&gt;=1,"YES","NO")</f>
        <v>NO</v>
      </c>
      <c r="G262" s="4"/>
      <c r="H262" s="4"/>
    </row>
    <row r="263" customFormat="false" ht="15.75" hidden="false" customHeight="false" outlineLevel="0" collapsed="false">
      <c r="B263" s="3" t="str">
        <f aca="false">IF(COUNTIF(Final_CB_B1_V5!$B$2:$B$527,A263)&gt;=1,"YES","NO")</f>
        <v>NO</v>
      </c>
      <c r="D263" s="3" t="str">
        <f aca="false">IF(COUNTIF(Final_CB_B1_V5!$C$2:$C$527,C263)&gt;=1,"YES","NO")</f>
        <v>NO</v>
      </c>
      <c r="G263" s="4"/>
      <c r="H263" s="4"/>
    </row>
    <row r="264" customFormat="false" ht="15.75" hidden="false" customHeight="false" outlineLevel="0" collapsed="false">
      <c r="B264" s="3" t="str">
        <f aca="false">IF(COUNTIF(Final_CB_B1_V5!$B$2:$B$527,A264)&gt;=1,"YES","NO")</f>
        <v>NO</v>
      </c>
      <c r="D264" s="3" t="str">
        <f aca="false">IF(COUNTIF(Final_CB_B1_V5!$C$2:$C$527,C264)&gt;=1,"YES","NO")</f>
        <v>NO</v>
      </c>
      <c r="G264" s="4"/>
      <c r="H264" s="4"/>
    </row>
    <row r="265" customFormat="false" ht="15.75" hidden="false" customHeight="false" outlineLevel="0" collapsed="false">
      <c r="B265" s="3" t="str">
        <f aca="false">IF(COUNTIF(Final_CB_B1_V5!$B$2:$B$527,A265)&gt;=1,"YES","NO")</f>
        <v>NO</v>
      </c>
      <c r="D265" s="3" t="str">
        <f aca="false">IF(COUNTIF(Final_CB_B1_V5!$C$2:$C$527,C265)&gt;=1,"YES","NO")</f>
        <v>NO</v>
      </c>
      <c r="G265" s="4"/>
      <c r="H265" s="4"/>
    </row>
    <row r="266" customFormat="false" ht="15.75" hidden="false" customHeight="false" outlineLevel="0" collapsed="false">
      <c r="B266" s="3" t="str">
        <f aca="false">IF(COUNTIF(Final_CB_B1_V5!$B$2:$B$527,A266)&gt;=1,"YES","NO")</f>
        <v>NO</v>
      </c>
      <c r="D266" s="3" t="str">
        <f aca="false">IF(COUNTIF(Final_CB_B1_V5!$C$2:$C$527,C266)&gt;=1,"YES","NO")</f>
        <v>NO</v>
      </c>
      <c r="G266" s="4"/>
      <c r="H266" s="4"/>
    </row>
    <row r="267" customFormat="false" ht="15.75" hidden="false" customHeight="false" outlineLevel="0" collapsed="false">
      <c r="B267" s="3" t="str">
        <f aca="false">IF(COUNTIF(Final_CB_B1_V5!$B$2:$B$527,A267)&gt;=1,"YES","NO")</f>
        <v>NO</v>
      </c>
      <c r="D267" s="3" t="str">
        <f aca="false">IF(COUNTIF(Final_CB_B1_V5!$C$2:$C$527,C267)&gt;=1,"YES","NO")</f>
        <v>NO</v>
      </c>
      <c r="G267" s="4"/>
      <c r="H267" s="4"/>
    </row>
    <row r="268" customFormat="false" ht="15.75" hidden="false" customHeight="false" outlineLevel="0" collapsed="false">
      <c r="B268" s="3" t="str">
        <f aca="false">IF(COUNTIF(Final_CB_B1_V5!$B$2:$B$527,A268)&gt;=1,"YES","NO")</f>
        <v>NO</v>
      </c>
      <c r="D268" s="3" t="str">
        <f aca="false">IF(COUNTIF(Final_CB_B1_V5!$C$2:$C$527,C268)&gt;=1,"YES","NO")</f>
        <v>NO</v>
      </c>
      <c r="G268" s="4"/>
      <c r="H268" s="4"/>
    </row>
    <row r="269" customFormat="false" ht="15.75" hidden="false" customHeight="false" outlineLevel="0" collapsed="false">
      <c r="B269" s="3" t="str">
        <f aca="false">IF(COUNTIF(Final_CB_B1_V5!$B$2:$B$527,A269)&gt;=1,"YES","NO")</f>
        <v>NO</v>
      </c>
      <c r="D269" s="3" t="str">
        <f aca="false">IF(COUNTIF(Final_CB_B1_V5!$C$2:$C$527,C269)&gt;=1,"YES","NO")</f>
        <v>NO</v>
      </c>
      <c r="G269" s="4"/>
      <c r="H269" s="4"/>
    </row>
    <row r="270" customFormat="false" ht="15.75" hidden="false" customHeight="false" outlineLevel="0" collapsed="false">
      <c r="B270" s="3" t="str">
        <f aca="false">IF(COUNTIF(Final_CB_B1_V5!$B$2:$B$527,A270)&gt;=1,"YES","NO")</f>
        <v>NO</v>
      </c>
      <c r="D270" s="3" t="str">
        <f aca="false">IF(COUNTIF(Final_CB_B1_V5!$C$2:$C$527,C270)&gt;=1,"YES","NO")</f>
        <v>NO</v>
      </c>
      <c r="G270" s="4"/>
      <c r="H270" s="4"/>
    </row>
    <row r="271" customFormat="false" ht="15.75" hidden="false" customHeight="false" outlineLevel="0" collapsed="false">
      <c r="B271" s="3" t="str">
        <f aca="false">IF(COUNTIF(Final_CB_B1_V5!$B$2:$B$527,A271)&gt;=1,"YES","NO")</f>
        <v>NO</v>
      </c>
      <c r="D271" s="3" t="str">
        <f aca="false">IF(COUNTIF(Final_CB_B1_V5!$C$2:$C$527,C271)&gt;=1,"YES","NO")</f>
        <v>NO</v>
      </c>
      <c r="G271" s="4"/>
      <c r="H271" s="4"/>
    </row>
    <row r="272" customFormat="false" ht="15.75" hidden="false" customHeight="false" outlineLevel="0" collapsed="false">
      <c r="B272" s="3" t="str">
        <f aca="false">IF(COUNTIF(Final_CB_B1_V5!$B$2:$B$527,A272)&gt;=1,"YES","NO")</f>
        <v>NO</v>
      </c>
      <c r="D272" s="3" t="str">
        <f aca="false">IF(COUNTIF(Final_CB_B1_V5!$C$2:$C$527,C272)&gt;=1,"YES","NO")</f>
        <v>NO</v>
      </c>
      <c r="G272" s="4"/>
      <c r="H272" s="4"/>
    </row>
    <row r="273" customFormat="false" ht="15.75" hidden="false" customHeight="false" outlineLevel="0" collapsed="false">
      <c r="B273" s="3" t="str">
        <f aca="false">IF(COUNTIF(Final_CB_B1_V5!$B$2:$B$527,A273)&gt;=1,"YES","NO")</f>
        <v>NO</v>
      </c>
      <c r="D273" s="3" t="str">
        <f aca="false">IF(COUNTIF(Final_CB_B1_V5!$C$2:$C$527,C273)&gt;=1,"YES","NO")</f>
        <v>NO</v>
      </c>
      <c r="G273" s="4"/>
      <c r="H273" s="4"/>
    </row>
    <row r="274" customFormat="false" ht="15.75" hidden="false" customHeight="false" outlineLevel="0" collapsed="false">
      <c r="B274" s="3" t="str">
        <f aca="false">IF(COUNTIF(Final_CB_B1_V5!$B$2:$B$527,A274)&gt;=1,"YES","NO")</f>
        <v>NO</v>
      </c>
      <c r="D274" s="3" t="str">
        <f aca="false">IF(COUNTIF(Final_CB_B1_V5!$C$2:$C$527,C274)&gt;=1,"YES","NO")</f>
        <v>NO</v>
      </c>
      <c r="G274" s="4"/>
      <c r="H274" s="4"/>
    </row>
    <row r="275" customFormat="false" ht="15.75" hidden="false" customHeight="false" outlineLevel="0" collapsed="false">
      <c r="B275" s="3" t="str">
        <f aca="false">IF(COUNTIF(Final_CB_B1_V5!$B$2:$B$527,A275)&gt;=1,"YES","NO")</f>
        <v>NO</v>
      </c>
      <c r="D275" s="3" t="str">
        <f aca="false">IF(COUNTIF(Final_CB_B1_V5!$C$2:$C$527,C275)&gt;=1,"YES","NO")</f>
        <v>NO</v>
      </c>
      <c r="G275" s="4"/>
      <c r="H275" s="4"/>
    </row>
    <row r="276" customFormat="false" ht="15.75" hidden="false" customHeight="false" outlineLevel="0" collapsed="false">
      <c r="B276" s="3" t="str">
        <f aca="false">IF(COUNTIF(Final_CB_B1_V5!$B$2:$B$527,A276)&gt;=1,"YES","NO")</f>
        <v>NO</v>
      </c>
      <c r="D276" s="3" t="str">
        <f aca="false">IF(COUNTIF(Final_CB_B1_V5!$C$2:$C$527,C276)&gt;=1,"YES","NO")</f>
        <v>NO</v>
      </c>
      <c r="G276" s="4"/>
      <c r="H276" s="4"/>
    </row>
    <row r="277" customFormat="false" ht="15.75" hidden="false" customHeight="false" outlineLevel="0" collapsed="false">
      <c r="B277" s="3" t="str">
        <f aca="false">IF(COUNTIF(Final_CB_B1_V5!$B$2:$B$527,A277)&gt;=1,"YES","NO")</f>
        <v>NO</v>
      </c>
      <c r="D277" s="3" t="str">
        <f aca="false">IF(COUNTIF(Final_CB_B1_V5!$C$2:$C$527,C277)&gt;=1,"YES","NO")</f>
        <v>NO</v>
      </c>
      <c r="G277" s="4"/>
      <c r="H277" s="4"/>
    </row>
    <row r="278" customFormat="false" ht="15.75" hidden="false" customHeight="false" outlineLevel="0" collapsed="false">
      <c r="B278" s="3" t="str">
        <f aca="false">IF(COUNTIF(Final_CB_B1_V5!$B$2:$B$527,A278)&gt;=1,"YES","NO")</f>
        <v>NO</v>
      </c>
      <c r="D278" s="3" t="str">
        <f aca="false">IF(COUNTIF(Final_CB_B1_V5!$C$2:$C$527,C278)&gt;=1,"YES","NO")</f>
        <v>NO</v>
      </c>
      <c r="G278" s="4"/>
      <c r="H278" s="4"/>
    </row>
    <row r="279" customFormat="false" ht="15.75" hidden="false" customHeight="false" outlineLevel="0" collapsed="false">
      <c r="B279" s="3" t="str">
        <f aca="false">IF(COUNTIF(Final_CB_B1_V5!$B$2:$B$527,A279)&gt;=1,"YES","NO")</f>
        <v>NO</v>
      </c>
      <c r="D279" s="3" t="str">
        <f aca="false">IF(COUNTIF(Final_CB_B1_V5!$C$2:$C$527,C279)&gt;=1,"YES","NO")</f>
        <v>NO</v>
      </c>
      <c r="G279" s="4"/>
      <c r="H279" s="4"/>
    </row>
    <row r="280" customFormat="false" ht="15.75" hidden="false" customHeight="false" outlineLevel="0" collapsed="false">
      <c r="B280" s="3" t="str">
        <f aca="false">IF(COUNTIF(Final_CB_B1_V5!$B$2:$B$527,A280)&gt;=1,"YES","NO")</f>
        <v>NO</v>
      </c>
      <c r="D280" s="3" t="str">
        <f aca="false">IF(COUNTIF(Final_CB_B1_V5!$C$2:$C$527,C280)&gt;=1,"YES","NO")</f>
        <v>NO</v>
      </c>
      <c r="G280" s="4"/>
      <c r="H280" s="4"/>
    </row>
    <row r="281" customFormat="false" ht="15.75" hidden="false" customHeight="false" outlineLevel="0" collapsed="false">
      <c r="B281" s="3" t="str">
        <f aca="false">IF(COUNTIF(Final_CB_B1_V5!$B$2:$B$527,A281)&gt;=1,"YES","NO")</f>
        <v>NO</v>
      </c>
      <c r="D281" s="3" t="str">
        <f aca="false">IF(COUNTIF(Final_CB_B1_V5!$C$2:$C$527,C281)&gt;=1,"YES","NO")</f>
        <v>NO</v>
      </c>
      <c r="G281" s="4"/>
      <c r="H281" s="4"/>
    </row>
    <row r="282" customFormat="false" ht="15.75" hidden="false" customHeight="false" outlineLevel="0" collapsed="false">
      <c r="B282" s="3" t="str">
        <f aca="false">IF(COUNTIF(Final_CB_B1_V5!$B$2:$B$527,A282)&gt;=1,"YES","NO")</f>
        <v>NO</v>
      </c>
      <c r="D282" s="3" t="str">
        <f aca="false">IF(COUNTIF(Final_CB_B1_V5!$C$2:$C$527,C282)&gt;=1,"YES","NO")</f>
        <v>NO</v>
      </c>
      <c r="G282" s="4"/>
      <c r="H282" s="4"/>
    </row>
    <row r="283" customFormat="false" ht="15.75" hidden="false" customHeight="false" outlineLevel="0" collapsed="false">
      <c r="B283" s="3" t="str">
        <f aca="false">IF(COUNTIF(Final_CB_B1_V5!$B$2:$B$527,A283)&gt;=1,"YES","NO")</f>
        <v>NO</v>
      </c>
      <c r="D283" s="3" t="str">
        <f aca="false">IF(COUNTIF(Final_CB_B1_V5!$C$2:$C$527,C283)&gt;=1,"YES","NO")</f>
        <v>NO</v>
      </c>
      <c r="G283" s="4"/>
      <c r="H283" s="4"/>
    </row>
    <row r="284" customFormat="false" ht="15.75" hidden="false" customHeight="false" outlineLevel="0" collapsed="false">
      <c r="B284" s="3" t="str">
        <f aca="false">IF(COUNTIF(Final_CB_B1_V5!$B$2:$B$527,A284)&gt;=1,"YES","NO")</f>
        <v>NO</v>
      </c>
      <c r="D284" s="3" t="str">
        <f aca="false">IF(COUNTIF(Final_CB_B1_V5!$C$2:$C$527,C284)&gt;=1,"YES","NO")</f>
        <v>NO</v>
      </c>
      <c r="G284" s="4"/>
      <c r="H284" s="4"/>
    </row>
    <row r="285" customFormat="false" ht="15.75" hidden="false" customHeight="false" outlineLevel="0" collapsed="false">
      <c r="B285" s="3" t="str">
        <f aca="false">IF(COUNTIF(Final_CB_B1_V5!$B$2:$B$527,A285)&gt;=1,"YES","NO")</f>
        <v>NO</v>
      </c>
      <c r="D285" s="3" t="str">
        <f aca="false">IF(COUNTIF(Final_CB_B1_V5!$C$2:$C$527,C285)&gt;=1,"YES","NO")</f>
        <v>NO</v>
      </c>
      <c r="G285" s="4"/>
      <c r="H285" s="4"/>
    </row>
    <row r="286" customFormat="false" ht="15.75" hidden="false" customHeight="false" outlineLevel="0" collapsed="false">
      <c r="B286" s="3" t="str">
        <f aca="false">IF(COUNTIF(Final_CB_B1_V5!$B$2:$B$527,A286)&gt;=1,"YES","NO")</f>
        <v>NO</v>
      </c>
      <c r="D286" s="3" t="str">
        <f aca="false">IF(COUNTIF(Final_CB_B1_V5!$C$2:$C$527,C286)&gt;=1,"YES","NO")</f>
        <v>NO</v>
      </c>
      <c r="G286" s="4"/>
      <c r="H286" s="4"/>
    </row>
    <row r="287" customFormat="false" ht="15.75" hidden="false" customHeight="false" outlineLevel="0" collapsed="false">
      <c r="B287" s="3" t="str">
        <f aca="false">IF(COUNTIF(Final_CB_B1_V5!$B$2:$B$527,A287)&gt;=1,"YES","NO")</f>
        <v>NO</v>
      </c>
      <c r="D287" s="3" t="str">
        <f aca="false">IF(COUNTIF(Final_CB_B1_V5!$C$2:$C$527,C287)&gt;=1,"YES","NO")</f>
        <v>NO</v>
      </c>
      <c r="G287" s="4"/>
      <c r="H287" s="4"/>
    </row>
    <row r="288" customFormat="false" ht="15.75" hidden="false" customHeight="false" outlineLevel="0" collapsed="false">
      <c r="B288" s="3" t="str">
        <f aca="false">IF(COUNTIF(Final_CB_B1_V5!$B$2:$B$527,A288)&gt;=1,"YES","NO")</f>
        <v>NO</v>
      </c>
      <c r="D288" s="3" t="str">
        <f aca="false">IF(COUNTIF(Final_CB_B1_V5!$C$2:$C$527,C288)&gt;=1,"YES","NO")</f>
        <v>NO</v>
      </c>
      <c r="G288" s="4"/>
      <c r="H288" s="4"/>
    </row>
    <row r="289" customFormat="false" ht="15.75" hidden="false" customHeight="false" outlineLevel="0" collapsed="false">
      <c r="B289" s="3" t="str">
        <f aca="false">IF(COUNTIF(Final_CB_B1_V5!$B$2:$B$527,A289)&gt;=1,"YES","NO")</f>
        <v>NO</v>
      </c>
      <c r="D289" s="3" t="str">
        <f aca="false">IF(COUNTIF(Final_CB_B1_V5!$C$2:$C$527,C289)&gt;=1,"YES","NO")</f>
        <v>NO</v>
      </c>
      <c r="G289" s="4"/>
      <c r="H289" s="4"/>
    </row>
    <row r="290" customFormat="false" ht="15.75" hidden="false" customHeight="false" outlineLevel="0" collapsed="false">
      <c r="B290" s="3" t="str">
        <f aca="false">IF(COUNTIF(Final_CB_B1_V5!$B$2:$B$527,A290)&gt;=1,"YES","NO")</f>
        <v>NO</v>
      </c>
      <c r="D290" s="3" t="str">
        <f aca="false">IF(COUNTIF(Final_CB_B1_V5!$C$2:$C$527,C290)&gt;=1,"YES","NO")</f>
        <v>NO</v>
      </c>
      <c r="G290" s="4"/>
      <c r="H290" s="4"/>
    </row>
    <row r="291" customFormat="false" ht="15.75" hidden="false" customHeight="false" outlineLevel="0" collapsed="false">
      <c r="B291" s="3" t="str">
        <f aca="false">IF(COUNTIF(Final_CB_B1_V5!$B$2:$B$527,A291)&gt;=1,"YES","NO")</f>
        <v>NO</v>
      </c>
      <c r="D291" s="3" t="str">
        <f aca="false">IF(COUNTIF(Final_CB_B1_V5!$C$2:$C$527,C291)&gt;=1,"YES","NO")</f>
        <v>NO</v>
      </c>
      <c r="G291" s="4"/>
      <c r="H291" s="4"/>
    </row>
    <row r="292" customFormat="false" ht="15.75" hidden="false" customHeight="false" outlineLevel="0" collapsed="false">
      <c r="B292" s="3" t="str">
        <f aca="false">IF(COUNTIF(Final_CB_B1_V5!$B$2:$B$527,A292)&gt;=1,"YES","NO")</f>
        <v>NO</v>
      </c>
      <c r="D292" s="3" t="str">
        <f aca="false">IF(COUNTIF(Final_CB_B1_V5!$C$2:$C$527,C292)&gt;=1,"YES","NO")</f>
        <v>NO</v>
      </c>
      <c r="G292" s="4"/>
      <c r="H292" s="4"/>
    </row>
    <row r="293" customFormat="false" ht="15.75" hidden="false" customHeight="false" outlineLevel="0" collapsed="false">
      <c r="B293" s="3" t="str">
        <f aca="false">IF(COUNTIF(Final_CB_B1_V5!$B$2:$B$527,A293)&gt;=1,"YES","NO")</f>
        <v>NO</v>
      </c>
      <c r="D293" s="3" t="str">
        <f aca="false">IF(COUNTIF(Final_CB_B1_V5!$C$2:$C$527,C293)&gt;=1,"YES","NO")</f>
        <v>NO</v>
      </c>
      <c r="G293" s="4"/>
      <c r="H293" s="4"/>
    </row>
    <row r="294" customFormat="false" ht="15.75" hidden="false" customHeight="false" outlineLevel="0" collapsed="false">
      <c r="B294" s="3" t="str">
        <f aca="false">IF(COUNTIF(Final_CB_B1_V5!$B$2:$B$527,A294)&gt;=1,"YES","NO")</f>
        <v>NO</v>
      </c>
      <c r="D294" s="3" t="str">
        <f aca="false">IF(COUNTIF(Final_CB_B1_V5!$C$2:$C$527,C294)&gt;=1,"YES","NO")</f>
        <v>NO</v>
      </c>
      <c r="G294" s="4"/>
      <c r="H294" s="4"/>
    </row>
    <row r="295" customFormat="false" ht="15.75" hidden="false" customHeight="false" outlineLevel="0" collapsed="false">
      <c r="B295" s="3" t="str">
        <f aca="false">IF(COUNTIF(Final_CB_B1_V5!$B$2:$B$527,A295)&gt;=1,"YES","NO")</f>
        <v>NO</v>
      </c>
      <c r="D295" s="3" t="str">
        <f aca="false">IF(COUNTIF(Final_CB_B1_V5!$C$2:$C$527,C295)&gt;=1,"YES","NO")</f>
        <v>NO</v>
      </c>
      <c r="G295" s="4"/>
      <c r="H295" s="4"/>
    </row>
    <row r="296" customFormat="false" ht="15.75" hidden="false" customHeight="false" outlineLevel="0" collapsed="false">
      <c r="B296" s="3" t="str">
        <f aca="false">IF(COUNTIF(Final_CB_B1_V5!$B$2:$B$527,A296)&gt;=1,"YES","NO")</f>
        <v>NO</v>
      </c>
      <c r="D296" s="3" t="str">
        <f aca="false">IF(COUNTIF(Final_CB_B1_V5!$C$2:$C$527,C296)&gt;=1,"YES","NO")</f>
        <v>NO</v>
      </c>
      <c r="G296" s="4"/>
      <c r="H296" s="4"/>
    </row>
    <row r="297" customFormat="false" ht="15.75" hidden="false" customHeight="false" outlineLevel="0" collapsed="false">
      <c r="B297" s="3" t="str">
        <f aca="false">IF(COUNTIF(Final_CB_B1_V5!$B$2:$B$527,A297)&gt;=1,"YES","NO")</f>
        <v>NO</v>
      </c>
      <c r="D297" s="3" t="str">
        <f aca="false">IF(COUNTIF(Final_CB_B1_V5!$C$2:$C$527,C297)&gt;=1,"YES","NO")</f>
        <v>NO</v>
      </c>
      <c r="G297" s="4"/>
      <c r="H297" s="4"/>
    </row>
    <row r="298" customFormat="false" ht="15.75" hidden="false" customHeight="false" outlineLevel="0" collapsed="false">
      <c r="B298" s="3" t="str">
        <f aca="false">IF(COUNTIF(Final_CB_B1_V5!$B$2:$B$527,A298)&gt;=1,"YES","NO")</f>
        <v>NO</v>
      </c>
      <c r="D298" s="3" t="str">
        <f aca="false">IF(COUNTIF(Final_CB_B1_V5!$C$2:$C$527,C298)&gt;=1,"YES","NO")</f>
        <v>NO</v>
      </c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  <row r="628" customFormat="false" ht="15.75" hidden="false" customHeight="false" outlineLevel="0" collapsed="false">
      <c r="G628" s="4"/>
      <c r="H628" s="4"/>
    </row>
    <row r="629" customFormat="false" ht="15.75" hidden="false" customHeight="false" outlineLevel="0" collapsed="false">
      <c r="G629" s="4"/>
      <c r="H629" s="4"/>
    </row>
    <row r="630" customFormat="false" ht="15.75" hidden="false" customHeight="false" outlineLevel="0" collapsed="false">
      <c r="G630" s="4"/>
      <c r="H630" s="4"/>
    </row>
    <row r="631" customFormat="false" ht="15.75" hidden="false" customHeight="false" outlineLevel="0" collapsed="false">
      <c r="G631" s="4"/>
      <c r="H631" s="4"/>
    </row>
    <row r="632" customFormat="false" ht="15.75" hidden="false" customHeight="false" outlineLevel="0" collapsed="false">
      <c r="G632" s="4"/>
      <c r="H632" s="4"/>
    </row>
    <row r="633" customFormat="false" ht="15.75" hidden="false" customHeight="false" outlineLevel="0" collapsed="false">
      <c r="G633" s="4"/>
      <c r="H633" s="4"/>
    </row>
    <row r="634" customFormat="false" ht="15.75" hidden="false" customHeight="false" outlineLevel="0" collapsed="false">
      <c r="G634" s="4"/>
      <c r="H634" s="4"/>
    </row>
    <row r="635" customFormat="false" ht="15.75" hidden="false" customHeight="false" outlineLevel="0" collapsed="false">
      <c r="G635" s="4"/>
      <c r="H635" s="4"/>
    </row>
    <row r="636" customFormat="false" ht="15.75" hidden="false" customHeight="false" outlineLevel="0" collapsed="false">
      <c r="G636" s="4"/>
      <c r="H636" s="4"/>
    </row>
    <row r="637" customFormat="false" ht="15.75" hidden="false" customHeight="false" outlineLevel="0" collapsed="false">
      <c r="G637" s="4"/>
      <c r="H637" s="4"/>
    </row>
    <row r="638" customFormat="false" ht="15.75" hidden="false" customHeight="false" outlineLevel="0" collapsed="false">
      <c r="G638" s="4"/>
      <c r="H638" s="4"/>
    </row>
    <row r="639" customFormat="false" ht="15.75" hidden="false" customHeight="false" outlineLevel="0" collapsed="false">
      <c r="G639" s="4"/>
      <c r="H639" s="4"/>
    </row>
    <row r="640" customFormat="false" ht="15.75" hidden="false" customHeight="false" outlineLevel="0" collapsed="false">
      <c r="G640" s="4"/>
      <c r="H640" s="4"/>
    </row>
    <row r="641" customFormat="false" ht="15.75" hidden="false" customHeight="false" outlineLevel="0" collapsed="false">
      <c r="G641" s="4"/>
      <c r="H641" s="4"/>
    </row>
    <row r="642" customFormat="false" ht="15.75" hidden="false" customHeight="false" outlineLevel="0" collapsed="false">
      <c r="G642" s="4"/>
      <c r="H642" s="4"/>
    </row>
    <row r="643" customFormat="false" ht="15.75" hidden="false" customHeight="false" outlineLevel="0" collapsed="false">
      <c r="G643" s="4"/>
      <c r="H643" s="4"/>
    </row>
    <row r="644" customFormat="false" ht="15.75" hidden="false" customHeight="false" outlineLevel="0" collapsed="false">
      <c r="G644" s="4"/>
      <c r="H644" s="4"/>
    </row>
    <row r="645" customFormat="false" ht="15.75" hidden="false" customHeight="false" outlineLevel="0" collapsed="false">
      <c r="G645" s="4"/>
      <c r="H645" s="4"/>
    </row>
    <row r="646" customFormat="false" ht="15.75" hidden="false" customHeight="false" outlineLevel="0" collapsed="false">
      <c r="G646" s="4"/>
      <c r="H646" s="4"/>
    </row>
    <row r="647" customFormat="false" ht="15.75" hidden="false" customHeight="false" outlineLevel="0" collapsed="false">
      <c r="G647" s="4"/>
      <c r="H647" s="4"/>
    </row>
    <row r="648" customFormat="false" ht="15.75" hidden="false" customHeight="false" outlineLevel="0" collapsed="false">
      <c r="G648" s="4"/>
      <c r="H648" s="4"/>
    </row>
    <row r="649" customFormat="false" ht="15.75" hidden="false" customHeight="false" outlineLevel="0" collapsed="false">
      <c r="G649" s="4"/>
      <c r="H649" s="4"/>
    </row>
    <row r="650" customFormat="false" ht="15.75" hidden="false" customHeight="false" outlineLevel="0" collapsed="false">
      <c r="G650" s="4"/>
      <c r="H650" s="4"/>
    </row>
    <row r="651" customFormat="false" ht="15.75" hidden="false" customHeight="false" outlineLevel="0" collapsed="false">
      <c r="G651" s="4"/>
      <c r="H651" s="4"/>
    </row>
    <row r="652" customFormat="false" ht="15.75" hidden="false" customHeight="false" outlineLevel="0" collapsed="false">
      <c r="G652" s="4"/>
      <c r="H652" s="4"/>
    </row>
    <row r="653" customFormat="false" ht="15.75" hidden="false" customHeight="false" outlineLevel="0" collapsed="false">
      <c r="G653" s="4"/>
      <c r="H653" s="4"/>
    </row>
    <row r="654" customFormat="false" ht="15.75" hidden="false" customHeight="false" outlineLevel="0" collapsed="false">
      <c r="G654" s="4"/>
      <c r="H654" s="4"/>
    </row>
    <row r="655" customFormat="false" ht="15.75" hidden="false" customHeight="false" outlineLevel="0" collapsed="false">
      <c r="G655" s="4"/>
      <c r="H655" s="4"/>
    </row>
    <row r="656" customFormat="false" ht="15.75" hidden="false" customHeight="false" outlineLevel="0" collapsed="false">
      <c r="G656" s="4"/>
      <c r="H656" s="4"/>
    </row>
    <row r="657" customFormat="false" ht="15.75" hidden="false" customHeight="false" outlineLevel="0" collapsed="false">
      <c r="G657" s="4"/>
      <c r="H657" s="4"/>
    </row>
    <row r="658" customFormat="false" ht="15.75" hidden="false" customHeight="false" outlineLevel="0" collapsed="false">
      <c r="G658" s="4"/>
      <c r="H658" s="4"/>
    </row>
    <row r="659" customFormat="false" ht="15.75" hidden="false" customHeight="false" outlineLevel="0" collapsed="false">
      <c r="G659" s="4"/>
      <c r="H659" s="4"/>
    </row>
    <row r="660" customFormat="false" ht="15.75" hidden="false" customHeight="false" outlineLevel="0" collapsed="false">
      <c r="G660" s="4"/>
      <c r="H660" s="4"/>
    </row>
    <row r="661" customFormat="false" ht="15.75" hidden="false" customHeight="false" outlineLevel="0" collapsed="false">
      <c r="G661" s="4"/>
      <c r="H661" s="4"/>
    </row>
  </sheetData>
  <conditionalFormatting sqref="A2:A1000 C2:C12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51"/>
    <col collapsed="false" customWidth="true" hidden="false" outlineLevel="0" max="3" min="2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3" t="s">
        <v>1394</v>
      </c>
      <c r="B2" s="3" t="s">
        <v>1297</v>
      </c>
      <c r="C2" s="3" t="s">
        <v>1297</v>
      </c>
      <c r="D2" s="3" t="s">
        <v>1395</v>
      </c>
    </row>
    <row r="3" customFormat="false" ht="15.75" hidden="false" customHeight="false" outlineLevel="0" collapsed="false">
      <c r="A3" s="3" t="s">
        <v>1299</v>
      </c>
      <c r="B3" s="3" t="s">
        <v>1299</v>
      </c>
      <c r="C3" s="3" t="s">
        <v>1299</v>
      </c>
      <c r="D3" s="3" t="s">
        <v>1395</v>
      </c>
    </row>
    <row r="4" customFormat="false" ht="15.75" hidden="false" customHeight="false" outlineLevel="0" collapsed="false">
      <c r="A4" s="3" t="s">
        <v>1396</v>
      </c>
      <c r="B4" s="3" t="s">
        <v>1300</v>
      </c>
      <c r="C4" s="3" t="s">
        <v>1300</v>
      </c>
      <c r="D4" s="3" t="s">
        <v>1395</v>
      </c>
    </row>
    <row r="5" customFormat="false" ht="15.75" hidden="false" customHeight="false" outlineLevel="0" collapsed="false">
      <c r="A5" s="3" t="s">
        <v>1304</v>
      </c>
      <c r="B5" s="3" t="s">
        <v>1304</v>
      </c>
      <c r="C5" s="3" t="s">
        <v>1304</v>
      </c>
      <c r="D5" s="3" t="s">
        <v>1395</v>
      </c>
    </row>
    <row r="6" customFormat="false" ht="15.75" hidden="false" customHeight="false" outlineLevel="0" collapsed="false">
      <c r="A6" s="3" t="s">
        <v>1308</v>
      </c>
      <c r="B6" s="3" t="s">
        <v>1308</v>
      </c>
      <c r="C6" s="3" t="s">
        <v>1308</v>
      </c>
      <c r="D6" s="3" t="s">
        <v>1395</v>
      </c>
    </row>
    <row r="7" customFormat="false" ht="15.75" hidden="false" customHeight="false" outlineLevel="0" collapsed="false">
      <c r="A7" s="3" t="s">
        <v>1312</v>
      </c>
      <c r="B7" s="3" t="s">
        <v>1312</v>
      </c>
      <c r="C7" s="3" t="s">
        <v>1312</v>
      </c>
      <c r="D7" s="3" t="s">
        <v>1395</v>
      </c>
    </row>
    <row r="8" customFormat="false" ht="15.75" hidden="false" customHeight="false" outlineLevel="0" collapsed="false">
      <c r="A8" s="3" t="s">
        <v>1318</v>
      </c>
      <c r="B8" s="3" t="s">
        <v>1318</v>
      </c>
      <c r="C8" s="3" t="s">
        <v>1318</v>
      </c>
      <c r="D8" s="3" t="s">
        <v>1395</v>
      </c>
    </row>
    <row r="9" customFormat="false" ht="15.75" hidden="false" customHeight="false" outlineLevel="0" collapsed="false">
      <c r="A9" s="3" t="s">
        <v>1319</v>
      </c>
      <c r="B9" s="3" t="s">
        <v>1319</v>
      </c>
      <c r="C9" s="3" t="s">
        <v>1319</v>
      </c>
      <c r="D9" s="3" t="s">
        <v>1395</v>
      </c>
    </row>
    <row r="10" customFormat="false" ht="15.75" hidden="false" customHeight="false" outlineLevel="0" collapsed="false">
      <c r="A10" s="3" t="s">
        <v>1397</v>
      </c>
      <c r="B10" s="3" t="s">
        <v>1320</v>
      </c>
      <c r="C10" s="3" t="s">
        <v>1320</v>
      </c>
      <c r="D10" s="3" t="s">
        <v>1395</v>
      </c>
    </row>
    <row r="11" customFormat="false" ht="15.75" hidden="false" customHeight="false" outlineLevel="0" collapsed="false">
      <c r="A11" s="3" t="s">
        <v>1322</v>
      </c>
      <c r="B11" s="3" t="s">
        <v>1322</v>
      </c>
      <c r="C11" s="3" t="s">
        <v>1322</v>
      </c>
      <c r="D11" s="3" t="s">
        <v>1395</v>
      </c>
    </row>
    <row r="12" customFormat="false" ht="15.75" hidden="false" customHeight="false" outlineLevel="0" collapsed="false">
      <c r="A12" s="3" t="s">
        <v>1324</v>
      </c>
      <c r="B12" s="3" t="s">
        <v>1324</v>
      </c>
      <c r="C12" s="3" t="s">
        <v>1324</v>
      </c>
      <c r="D12" s="3" t="s">
        <v>1395</v>
      </c>
    </row>
    <row r="13" customFormat="false" ht="15.75" hidden="false" customHeight="false" outlineLevel="0" collapsed="false">
      <c r="A13" s="3" t="s">
        <v>1329</v>
      </c>
      <c r="B13" s="3" t="s">
        <v>1329</v>
      </c>
      <c r="C13" s="3" t="s">
        <v>1329</v>
      </c>
      <c r="D13" s="3" t="s">
        <v>1395</v>
      </c>
    </row>
    <row r="14" customFormat="false" ht="15.75" hidden="false" customHeight="false" outlineLevel="0" collapsed="false">
      <c r="A14" s="3" t="s">
        <v>1398</v>
      </c>
      <c r="B14" s="3" t="s">
        <v>1331</v>
      </c>
      <c r="C14" s="3" t="s">
        <v>1331</v>
      </c>
      <c r="D14" s="3" t="s">
        <v>1395</v>
      </c>
    </row>
    <row r="15" customFormat="false" ht="15.75" hidden="false" customHeight="false" outlineLevel="0" collapsed="false">
      <c r="A15" s="3" t="s">
        <v>1332</v>
      </c>
      <c r="B15" s="3" t="s">
        <v>1332</v>
      </c>
      <c r="C15" s="3" t="s">
        <v>1332</v>
      </c>
      <c r="D15" s="3" t="s">
        <v>1395</v>
      </c>
    </row>
    <row r="16" customFormat="false" ht="15.75" hidden="false" customHeight="false" outlineLevel="0" collapsed="false">
      <c r="A16" s="3" t="s">
        <v>1333</v>
      </c>
      <c r="B16" s="3" t="s">
        <v>1333</v>
      </c>
      <c r="C16" s="3" t="s">
        <v>1333</v>
      </c>
      <c r="D16" s="3" t="s">
        <v>1395</v>
      </c>
    </row>
    <row r="17" customFormat="false" ht="15.75" hidden="false" customHeight="false" outlineLevel="0" collapsed="false">
      <c r="A17" s="3" t="s">
        <v>1334</v>
      </c>
      <c r="B17" s="3" t="s">
        <v>1334</v>
      </c>
      <c r="C17" s="3" t="s">
        <v>1334</v>
      </c>
      <c r="D17" s="3" t="s">
        <v>1395</v>
      </c>
    </row>
    <row r="18" customFormat="false" ht="15.75" hidden="false" customHeight="false" outlineLevel="0" collapsed="false">
      <c r="A18" s="3" t="s">
        <v>1336</v>
      </c>
      <c r="B18" s="3" t="s">
        <v>1336</v>
      </c>
      <c r="C18" s="3" t="s">
        <v>1336</v>
      </c>
      <c r="D18" s="3" t="s">
        <v>1395</v>
      </c>
    </row>
    <row r="19" customFormat="false" ht="15.75" hidden="false" customHeight="false" outlineLevel="0" collapsed="false">
      <c r="A19" s="3" t="s">
        <v>1338</v>
      </c>
      <c r="B19" s="3" t="s">
        <v>1338</v>
      </c>
      <c r="C19" s="3" t="s">
        <v>1338</v>
      </c>
      <c r="D19" s="3" t="s">
        <v>1395</v>
      </c>
    </row>
    <row r="20" customFormat="false" ht="15.75" hidden="false" customHeight="false" outlineLevel="0" collapsed="false">
      <c r="A20" s="3" t="s">
        <v>1399</v>
      </c>
      <c r="B20" s="3" t="s">
        <v>1342</v>
      </c>
      <c r="C20" s="3" t="s">
        <v>1342</v>
      </c>
      <c r="D20" s="3" t="s">
        <v>1395</v>
      </c>
    </row>
    <row r="21" customFormat="false" ht="15.75" hidden="false" customHeight="false" outlineLevel="0" collapsed="false">
      <c r="A21" s="3" t="s">
        <v>1399</v>
      </c>
      <c r="B21" s="3" t="s">
        <v>1344</v>
      </c>
      <c r="C21" s="3" t="s">
        <v>1344</v>
      </c>
      <c r="D21" s="3" t="s">
        <v>1395</v>
      </c>
    </row>
    <row r="22" customFormat="false" ht="15.75" hidden="false" customHeight="false" outlineLevel="0" collapsed="false">
      <c r="A22" s="3" t="s">
        <v>1399</v>
      </c>
      <c r="B22" s="3" t="s">
        <v>1346</v>
      </c>
      <c r="C22" s="3" t="s">
        <v>1346</v>
      </c>
      <c r="D22" s="3" t="s">
        <v>1395</v>
      </c>
    </row>
    <row r="23" customFormat="false" ht="15.75" hidden="false" customHeight="false" outlineLevel="0" collapsed="false">
      <c r="A23" s="3" t="s">
        <v>1399</v>
      </c>
      <c r="B23" s="3" t="s">
        <v>1347</v>
      </c>
      <c r="C23" s="3" t="s">
        <v>1347</v>
      </c>
      <c r="D23" s="3" t="s">
        <v>1395</v>
      </c>
    </row>
    <row r="24" customFormat="false" ht="15.75" hidden="false" customHeight="false" outlineLevel="0" collapsed="false">
      <c r="A24" s="3" t="s">
        <v>1400</v>
      </c>
      <c r="B24" s="3" t="s">
        <v>1348</v>
      </c>
      <c r="C24" s="3" t="s">
        <v>1348</v>
      </c>
      <c r="D24" s="3" t="s">
        <v>1395</v>
      </c>
    </row>
    <row r="25" customFormat="false" ht="15.75" hidden="false" customHeight="false" outlineLevel="0" collapsed="false">
      <c r="A25" s="3" t="s">
        <v>1400</v>
      </c>
      <c r="B25" s="3" t="s">
        <v>1349</v>
      </c>
      <c r="C25" s="3" t="s">
        <v>1349</v>
      </c>
      <c r="D25" s="3" t="s">
        <v>1395</v>
      </c>
    </row>
    <row r="26" customFormat="false" ht="15.75" hidden="false" customHeight="false" outlineLevel="0" collapsed="false">
      <c r="A26" s="3" t="s">
        <v>1350</v>
      </c>
      <c r="B26" s="3" t="s">
        <v>1350</v>
      </c>
      <c r="C26" s="3" t="s">
        <v>1350</v>
      </c>
    </row>
    <row r="27" customFormat="false" ht="15.75" hidden="false" customHeight="false" outlineLevel="0" collapsed="false">
      <c r="A27" s="3" t="s">
        <v>1351</v>
      </c>
      <c r="B27" s="3" t="s">
        <v>1351</v>
      </c>
      <c r="C27" s="3" t="s">
        <v>1351</v>
      </c>
    </row>
    <row r="28" customFormat="false" ht="15.75" hidden="false" customHeight="false" outlineLevel="0" collapsed="false">
      <c r="A28" s="3" t="s">
        <v>1356</v>
      </c>
      <c r="B28" s="3" t="s">
        <v>1356</v>
      </c>
      <c r="C28" s="3" t="s">
        <v>1356</v>
      </c>
    </row>
    <row r="29" customFormat="false" ht="15.75" hidden="false" customHeight="false" outlineLevel="0" collapsed="false">
      <c r="A29" s="3" t="s">
        <v>1359</v>
      </c>
      <c r="B29" s="3" t="s">
        <v>1359</v>
      </c>
      <c r="C29" s="3" t="s">
        <v>1359</v>
      </c>
    </row>
    <row r="30" customFormat="false" ht="15.75" hidden="false" customHeight="false" outlineLevel="0" collapsed="false">
      <c r="A30" s="3" t="s">
        <v>1401</v>
      </c>
      <c r="B30" s="3" t="s">
        <v>1361</v>
      </c>
      <c r="C30" s="3" t="s">
        <v>1361</v>
      </c>
    </row>
    <row r="31" customFormat="false" ht="15.75" hidden="false" customHeight="false" outlineLevel="0" collapsed="false">
      <c r="A31" s="3" t="s">
        <v>1402</v>
      </c>
      <c r="B31" s="3" t="s">
        <v>1363</v>
      </c>
      <c r="C31" s="3" t="s">
        <v>1363</v>
      </c>
    </row>
    <row r="32" customFormat="false" ht="15.75" hidden="false" customHeight="false" outlineLevel="0" collapsed="false">
      <c r="A32" s="3" t="s">
        <v>1403</v>
      </c>
      <c r="B32" s="3" t="s">
        <v>1368</v>
      </c>
      <c r="C32" s="3" t="s">
        <v>1368</v>
      </c>
    </row>
    <row r="33" customFormat="false" ht="15.75" hidden="false" customHeight="false" outlineLevel="0" collapsed="false">
      <c r="A33" s="3" t="s">
        <v>1373</v>
      </c>
      <c r="B33" s="3" t="s">
        <v>1373</v>
      </c>
      <c r="C33" s="3" t="s">
        <v>1373</v>
      </c>
    </row>
    <row r="34" customFormat="false" ht="15.75" hidden="false" customHeight="false" outlineLevel="0" collapsed="false">
      <c r="A34" s="3" t="s">
        <v>1404</v>
      </c>
      <c r="B34" s="3" t="s">
        <v>1375</v>
      </c>
      <c r="C34" s="3" t="s">
        <v>1375</v>
      </c>
    </row>
    <row r="35" customFormat="false" ht="15.75" hidden="false" customHeight="false" outlineLevel="0" collapsed="false">
      <c r="A35" s="3" t="s">
        <v>1376</v>
      </c>
      <c r="B35" s="3" t="s">
        <v>1376</v>
      </c>
      <c r="C35" s="3" t="s">
        <v>1376</v>
      </c>
    </row>
    <row r="36" customFormat="false" ht="15.75" hidden="false" customHeight="false" outlineLevel="0" collapsed="false">
      <c r="A36" s="3" t="s">
        <v>1405</v>
      </c>
      <c r="B36" s="3" t="s">
        <v>1383</v>
      </c>
      <c r="C36" s="3" t="s">
        <v>1383</v>
      </c>
    </row>
    <row r="37" customFormat="false" ht="15.75" hidden="false" customHeight="false" outlineLevel="0" collapsed="false">
      <c r="A37" s="3" t="s">
        <v>1385</v>
      </c>
      <c r="B37" s="3" t="s">
        <v>1385</v>
      </c>
      <c r="C37" s="3" t="s">
        <v>1385</v>
      </c>
    </row>
    <row r="38" customFormat="false" ht="15.75" hidden="false" customHeight="false" outlineLevel="0" collapsed="false">
      <c r="A38" s="3" t="s">
        <v>1406</v>
      </c>
      <c r="B38" s="3" t="s">
        <v>1386</v>
      </c>
      <c r="C38" s="3" t="s">
        <v>1386</v>
      </c>
    </row>
    <row r="39" customFormat="false" ht="15.75" hidden="false" customHeight="false" outlineLevel="0" collapsed="false">
      <c r="A39" s="3" t="s">
        <v>1389</v>
      </c>
      <c r="B39" s="3" t="s">
        <v>1389</v>
      </c>
      <c r="C39" s="3" t="s">
        <v>1389</v>
      </c>
    </row>
    <row r="40" customFormat="false" ht="15.75" hidden="false" customHeight="false" outlineLevel="0" collapsed="false">
      <c r="A40" s="3" t="s">
        <v>1392</v>
      </c>
      <c r="B40" s="3" t="s">
        <v>1392</v>
      </c>
      <c r="C40" s="3" t="s">
        <v>1392</v>
      </c>
    </row>
    <row r="41" customFormat="false" ht="15.75" hidden="false" customHeight="false" outlineLevel="0" collapsed="false">
      <c r="A41" s="4"/>
      <c r="B41" s="3"/>
      <c r="C41" s="3"/>
    </row>
    <row r="42" customFormat="false" ht="15.75" hidden="false" customHeight="false" outlineLevel="0" collapsed="false">
      <c r="A42" s="3" t="s">
        <v>1326</v>
      </c>
      <c r="B42" s="3" t="s">
        <v>1326</v>
      </c>
      <c r="C42" s="3" t="s">
        <v>1325</v>
      </c>
    </row>
    <row r="43" customFormat="false" ht="15.75" hidden="false" customHeight="false" outlineLevel="0" collapsed="false">
      <c r="A43" s="3" t="s">
        <v>1372</v>
      </c>
      <c r="B43" s="3" t="s">
        <v>1372</v>
      </c>
      <c r="C43" s="3" t="s">
        <v>1374</v>
      </c>
    </row>
    <row r="44" customFormat="false" ht="15.75" hidden="false" customHeight="false" outlineLevel="0" collapsed="false">
      <c r="A44" s="3" t="s">
        <v>1407</v>
      </c>
      <c r="B44" s="3" t="s">
        <v>1381</v>
      </c>
      <c r="C44" s="3" t="s">
        <v>1380</v>
      </c>
    </row>
    <row r="45" customFormat="false" ht="15.75" hidden="false" customHeight="false" outlineLevel="0" collapsed="false">
      <c r="A45" s="3" t="s">
        <v>1405</v>
      </c>
      <c r="B45" s="3" t="s">
        <v>1384</v>
      </c>
      <c r="C45" s="3" t="s">
        <v>1383</v>
      </c>
    </row>
    <row r="46" customFormat="false" ht="15.75" hidden="false" customHeight="false" outlineLevel="0" collapsed="false">
      <c r="A46" s="3" t="s">
        <v>1408</v>
      </c>
      <c r="B46" s="3" t="s">
        <v>1388</v>
      </c>
      <c r="C46" s="3" t="s">
        <v>1387</v>
      </c>
    </row>
    <row r="47" customFormat="false" ht="15.75" hidden="false" customHeight="false" outlineLevel="0" collapsed="false">
      <c r="A47" s="3" t="s">
        <v>1409</v>
      </c>
      <c r="B47" s="3" t="s">
        <v>1391</v>
      </c>
      <c r="C47" s="3" t="s">
        <v>1390</v>
      </c>
    </row>
    <row r="48" customFormat="false" ht="15.75" hidden="false" customHeight="false" outlineLevel="0" collapsed="false">
      <c r="A48" s="3" t="s">
        <v>1410</v>
      </c>
      <c r="B48" s="3" t="s">
        <v>1301</v>
      </c>
      <c r="C48" s="3" t="s">
        <v>1305</v>
      </c>
    </row>
    <row r="49" customFormat="false" ht="15.75" hidden="false" customHeight="false" outlineLevel="0" collapsed="false">
      <c r="A49" s="3" t="s">
        <v>1321</v>
      </c>
      <c r="B49" s="3" t="s">
        <v>1311</v>
      </c>
      <c r="C49" s="3" t="s">
        <v>1321</v>
      </c>
    </row>
    <row r="50" customFormat="false" ht="15.75" hidden="false" customHeight="false" outlineLevel="0" collapsed="false">
      <c r="A50" s="3" t="s">
        <v>1299</v>
      </c>
      <c r="B50" s="3" t="s">
        <v>1299</v>
      </c>
      <c r="C50" s="3" t="s">
        <v>1366</v>
      </c>
    </row>
    <row r="51" customFormat="false" ht="15.75" hidden="false" customHeight="false" outlineLevel="0" collapsed="false">
      <c r="A51" s="3" t="s">
        <v>1360</v>
      </c>
      <c r="B51" s="3" t="s">
        <v>1352</v>
      </c>
      <c r="C51" s="3" t="s">
        <v>1360</v>
      </c>
    </row>
    <row r="52" customFormat="false" ht="15.75" hidden="false" customHeight="false" outlineLevel="0" collapsed="false">
      <c r="A52" s="3" t="s">
        <v>1360</v>
      </c>
      <c r="B52" s="3" t="s">
        <v>1353</v>
      </c>
      <c r="C52" s="3" t="s">
        <v>1360</v>
      </c>
    </row>
    <row r="53" customFormat="false" ht="15.75" hidden="false" customHeight="false" outlineLevel="0" collapsed="false">
      <c r="A53" s="3" t="s">
        <v>1317</v>
      </c>
      <c r="B53" s="3" t="s">
        <v>1317</v>
      </c>
      <c r="C53" s="3" t="s">
        <v>1313</v>
      </c>
    </row>
    <row r="54" customFormat="false" ht="15.75" hidden="false" customHeight="false" outlineLevel="0" collapsed="false">
      <c r="A54" s="4"/>
      <c r="B54" s="3"/>
      <c r="C54" s="3"/>
    </row>
    <row r="55" customFormat="false" ht="15.75" hidden="false" customHeight="false" outlineLevel="0" collapsed="false">
      <c r="A55" s="3" t="s">
        <v>1302</v>
      </c>
      <c r="B55" s="3" t="s">
        <v>1302</v>
      </c>
      <c r="C55" s="3"/>
    </row>
    <row r="56" customFormat="false" ht="15.75" hidden="false" customHeight="false" outlineLevel="0" collapsed="false">
      <c r="A56" s="3" t="s">
        <v>1393</v>
      </c>
      <c r="B56" s="3" t="s">
        <v>1393</v>
      </c>
      <c r="C56" s="3"/>
    </row>
    <row r="57" customFormat="false" ht="15.75" hidden="false" customHeight="false" outlineLevel="0" collapsed="false">
      <c r="A57" s="3" t="s">
        <v>1411</v>
      </c>
      <c r="B57" s="3" t="s">
        <v>1306</v>
      </c>
      <c r="C57" s="3"/>
    </row>
    <row r="58" customFormat="false" ht="15.75" hidden="false" customHeight="false" outlineLevel="0" collapsed="false">
      <c r="A58" s="3" t="s">
        <v>1411</v>
      </c>
      <c r="B58" s="3" t="s">
        <v>1328</v>
      </c>
      <c r="C58" s="3"/>
    </row>
    <row r="59" customFormat="false" ht="15.75" hidden="false" customHeight="false" outlineLevel="0" collapsed="false">
      <c r="A59" s="3" t="s">
        <v>1412</v>
      </c>
      <c r="B59" s="3" t="s">
        <v>1378</v>
      </c>
      <c r="C59" s="3" t="s">
        <v>1382</v>
      </c>
    </row>
    <row r="60" customFormat="false" ht="15.75" hidden="false" customHeight="false" outlineLevel="0" collapsed="false">
      <c r="A60" s="3" t="s">
        <v>1412</v>
      </c>
      <c r="B60" s="3" t="s">
        <v>1379</v>
      </c>
      <c r="C60" s="3"/>
    </row>
    <row r="61" customFormat="false" ht="15.75" hidden="false" customHeight="false" outlineLevel="0" collapsed="false">
      <c r="A61" s="3" t="s">
        <v>1309</v>
      </c>
      <c r="B61" s="3" t="s">
        <v>1309</v>
      </c>
      <c r="C61" s="3"/>
    </row>
    <row r="62" customFormat="false" ht="15.75" hidden="false" customHeight="false" outlineLevel="0" collapsed="false">
      <c r="A62" s="3" t="s">
        <v>1399</v>
      </c>
      <c r="B62" s="3" t="s">
        <v>1340</v>
      </c>
      <c r="C62" s="3"/>
    </row>
    <row r="63" customFormat="false" ht="15.75" hidden="false" customHeight="false" outlineLevel="0" collapsed="false">
      <c r="A63" s="3" t="s">
        <v>1355</v>
      </c>
      <c r="B63" s="3" t="s">
        <v>1355</v>
      </c>
      <c r="C63" s="3"/>
    </row>
    <row r="64" customFormat="false" ht="15.75" hidden="false" customHeight="false" outlineLevel="0" collapsed="false">
      <c r="A64" s="3" t="s">
        <v>1357</v>
      </c>
      <c r="B64" s="3" t="s">
        <v>1357</v>
      </c>
      <c r="C64" s="3"/>
    </row>
    <row r="65" customFormat="false" ht="15.75" hidden="false" customHeight="false" outlineLevel="0" collapsed="false">
      <c r="A65" s="3" t="s">
        <v>1362</v>
      </c>
      <c r="B65" s="3" t="s">
        <v>1362</v>
      </c>
      <c r="C65" s="3"/>
    </row>
    <row r="66" customFormat="false" ht="15.75" hidden="false" customHeight="false" outlineLevel="0" collapsed="false">
      <c r="A66" s="3" t="s">
        <v>1364</v>
      </c>
      <c r="B66" s="3" t="s">
        <v>1364</v>
      </c>
      <c r="C66" s="3"/>
    </row>
    <row r="67" customFormat="false" ht="15.75" hidden="false" customHeight="false" outlineLevel="0" collapsed="false">
      <c r="A67" s="3" t="s">
        <v>1413</v>
      </c>
      <c r="B67" s="3" t="s">
        <v>1365</v>
      </c>
      <c r="C67" s="3"/>
    </row>
    <row r="68" customFormat="false" ht="15.75" hidden="false" customHeight="false" outlineLevel="0" collapsed="false">
      <c r="A68" s="3" t="s">
        <v>1367</v>
      </c>
      <c r="B68" s="3" t="s">
        <v>1367</v>
      </c>
      <c r="C68" s="3"/>
    </row>
    <row r="69" customFormat="false" ht="15.75" hidden="false" customHeight="false" outlineLevel="0" collapsed="false">
      <c r="A69" s="3" t="s">
        <v>1369</v>
      </c>
      <c r="B69" s="3" t="s">
        <v>1369</v>
      </c>
      <c r="C69" s="3"/>
    </row>
    <row r="70" customFormat="false" ht="15.75" hidden="false" customHeight="false" outlineLevel="0" collapsed="false">
      <c r="A70" s="3" t="s">
        <v>1335</v>
      </c>
      <c r="B70" s="3" t="s">
        <v>1335</v>
      </c>
      <c r="C70" s="3"/>
    </row>
    <row r="71" customFormat="false" ht="15.75" hidden="false" customHeight="false" outlineLevel="0" collapsed="false">
      <c r="A71" s="3" t="s">
        <v>1414</v>
      </c>
      <c r="B71" s="3" t="s">
        <v>1323</v>
      </c>
      <c r="C71" s="3"/>
    </row>
    <row r="72" customFormat="false" ht="15.75" hidden="false" customHeight="false" outlineLevel="0" collapsed="false">
      <c r="A72" s="3" t="s">
        <v>1314</v>
      </c>
      <c r="B72" s="3" t="s">
        <v>1314</v>
      </c>
      <c r="C72" s="3"/>
    </row>
    <row r="73" customFormat="false" ht="15.75" hidden="false" customHeight="false" outlineLevel="0" collapsed="false">
      <c r="A73" s="3" t="s">
        <v>1315</v>
      </c>
      <c r="B73" s="3" t="s">
        <v>1315</v>
      </c>
      <c r="C73" s="3"/>
    </row>
    <row r="74" customFormat="false" ht="15.75" hidden="false" customHeight="false" outlineLevel="0" collapsed="false">
      <c r="A74" s="3"/>
      <c r="B74" s="3"/>
      <c r="C74" s="3"/>
    </row>
    <row r="75" customFormat="false" ht="15.75" hidden="false" customHeight="false" outlineLevel="0" collapsed="false">
      <c r="A75" s="3" t="s">
        <v>1298</v>
      </c>
      <c r="B75" s="3"/>
      <c r="C75" s="3" t="s">
        <v>1298</v>
      </c>
    </row>
    <row r="76" customFormat="false" ht="15.75" hidden="false" customHeight="false" outlineLevel="0" collapsed="false">
      <c r="A76" s="3" t="s">
        <v>1303</v>
      </c>
      <c r="B76" s="3"/>
      <c r="C76" s="3" t="s">
        <v>1303</v>
      </c>
    </row>
    <row r="77" customFormat="false" ht="15.75" hidden="false" customHeight="false" outlineLevel="0" collapsed="false">
      <c r="A77" s="3" t="s">
        <v>1415</v>
      </c>
      <c r="B77" s="3"/>
      <c r="C77" s="3" t="s">
        <v>1307</v>
      </c>
    </row>
    <row r="78" customFormat="false" ht="15.75" hidden="false" customHeight="false" outlineLevel="0" collapsed="false">
      <c r="A78" s="3" t="s">
        <v>1416</v>
      </c>
      <c r="B78" s="3"/>
      <c r="C78" s="3" t="s">
        <v>1310</v>
      </c>
    </row>
    <row r="79" customFormat="false" ht="15.75" hidden="false" customHeight="false" outlineLevel="0" collapsed="false">
      <c r="A79" s="3" t="s">
        <v>1316</v>
      </c>
      <c r="B79" s="3"/>
      <c r="C79" s="3" t="s">
        <v>1316</v>
      </c>
    </row>
    <row r="80" customFormat="false" ht="15.75" hidden="false" customHeight="false" outlineLevel="0" collapsed="false">
      <c r="A80" s="3" t="s">
        <v>1327</v>
      </c>
      <c r="B80" s="3"/>
      <c r="C80" s="3" t="s">
        <v>1327</v>
      </c>
    </row>
    <row r="81" customFormat="false" ht="15.75" hidden="false" customHeight="false" outlineLevel="0" collapsed="false">
      <c r="A81" s="3" t="s">
        <v>1330</v>
      </c>
      <c r="B81" s="3"/>
      <c r="C81" s="3" t="s">
        <v>1330</v>
      </c>
    </row>
    <row r="82" customFormat="false" ht="15.75" hidden="false" customHeight="false" outlineLevel="0" collapsed="false">
      <c r="A82" s="3" t="s">
        <v>1337</v>
      </c>
      <c r="B82" s="3"/>
      <c r="C82" s="3" t="s">
        <v>1337</v>
      </c>
    </row>
    <row r="83" customFormat="false" ht="15.75" hidden="false" customHeight="false" outlineLevel="0" collapsed="false">
      <c r="A83" s="3" t="s">
        <v>1339</v>
      </c>
      <c r="B83" s="3"/>
      <c r="C83" s="3" t="s">
        <v>1339</v>
      </c>
    </row>
    <row r="84" customFormat="false" ht="15.75" hidden="false" customHeight="false" outlineLevel="0" collapsed="false">
      <c r="A84" s="3" t="s">
        <v>1341</v>
      </c>
      <c r="B84" s="3"/>
      <c r="C84" s="3" t="s">
        <v>1341</v>
      </c>
    </row>
    <row r="85" customFormat="false" ht="15.75" hidden="false" customHeight="false" outlineLevel="0" collapsed="false">
      <c r="A85" s="3" t="s">
        <v>1417</v>
      </c>
      <c r="B85" s="3"/>
      <c r="C85" s="3" t="s">
        <v>1343</v>
      </c>
    </row>
    <row r="86" customFormat="false" ht="15.75" hidden="false" customHeight="false" outlineLevel="0" collapsed="false">
      <c r="A86" s="3" t="s">
        <v>1399</v>
      </c>
      <c r="B86" s="3"/>
      <c r="C86" s="3" t="s">
        <v>1345</v>
      </c>
    </row>
    <row r="87" customFormat="false" ht="15.75" hidden="false" customHeight="false" outlineLevel="0" collapsed="false">
      <c r="A87" s="3" t="s">
        <v>1354</v>
      </c>
      <c r="B87" s="3"/>
      <c r="C87" s="3" t="s">
        <v>1354</v>
      </c>
    </row>
    <row r="88" customFormat="false" ht="15.75" hidden="false" customHeight="false" outlineLevel="0" collapsed="false">
      <c r="A88" s="3" t="s">
        <v>1418</v>
      </c>
      <c r="B88" s="3"/>
      <c r="C88" s="3" t="s">
        <v>1370</v>
      </c>
    </row>
    <row r="89" customFormat="false" ht="15.75" hidden="false" customHeight="false" outlineLevel="0" collapsed="false">
      <c r="A89" s="3" t="s">
        <v>1371</v>
      </c>
      <c r="B89" s="3"/>
      <c r="C89" s="3" t="s">
        <v>1371</v>
      </c>
    </row>
    <row r="90" customFormat="false" ht="15.75" hidden="false" customHeight="false" outlineLevel="0" collapsed="false">
      <c r="A90" s="3" t="s">
        <v>1419</v>
      </c>
      <c r="B90" s="3"/>
      <c r="C90" s="3" t="s">
        <v>1377</v>
      </c>
    </row>
    <row r="91" customFormat="false" ht="15.75" hidden="false" customHeight="false" outlineLevel="0" collapsed="false">
      <c r="A91" s="4"/>
      <c r="B91" s="3"/>
    </row>
    <row r="92" customFormat="false" ht="15.75" hidden="false" customHeight="false" outlineLevel="0" collapsed="false">
      <c r="A92" s="3"/>
      <c r="B92" s="3"/>
      <c r="C92" s="3"/>
    </row>
    <row r="93" customFormat="false" ht="15.75" hidden="false" customHeight="false" outlineLevel="0" collapsed="false">
      <c r="A93" s="3"/>
      <c r="B93" s="3"/>
      <c r="C93" s="3"/>
    </row>
    <row r="94" customFormat="false" ht="15.75" hidden="false" customHeight="false" outlineLevel="0" collapsed="false">
      <c r="A94" s="3" t="s">
        <v>713</v>
      </c>
      <c r="B94" s="3"/>
      <c r="C94" s="3" t="s">
        <v>1358</v>
      </c>
    </row>
    <row r="95" customFormat="false" ht="15.75" hidden="false" customHeight="false" outlineLevel="0" collapsed="false">
      <c r="A95" s="4"/>
      <c r="B95" s="3"/>
      <c r="C95" s="3"/>
    </row>
    <row r="96" customFormat="false" ht="15.75" hidden="false" customHeight="false" outlineLevel="0" collapsed="false">
      <c r="A96" s="4"/>
      <c r="B96" s="3"/>
      <c r="C96" s="3"/>
    </row>
    <row r="97" customFormat="false" ht="15.75" hidden="false" customHeight="false" outlineLevel="0" collapsed="false">
      <c r="A97" s="4"/>
      <c r="B97" s="3"/>
      <c r="C97" s="3"/>
    </row>
    <row r="98" customFormat="false" ht="15.75" hidden="false" customHeight="false" outlineLevel="0" collapsed="false">
      <c r="A98" s="4"/>
      <c r="B98" s="3"/>
      <c r="C98" s="3"/>
    </row>
    <row r="99" customFormat="false" ht="15.75" hidden="false" customHeight="false" outlineLevel="0" collapsed="false">
      <c r="A99" s="4"/>
      <c r="B99" s="3"/>
      <c r="C99" s="3"/>
    </row>
    <row r="100" customFormat="false" ht="15.75" hidden="false" customHeight="false" outlineLevel="0" collapsed="false">
      <c r="A100" s="4"/>
      <c r="B100" s="3"/>
      <c r="C100" s="3"/>
    </row>
    <row r="101" customFormat="false" ht="15.75" hidden="false" customHeight="false" outlineLevel="0" collapsed="false">
      <c r="A101" s="4"/>
      <c r="B101" s="3"/>
      <c r="C101" s="3"/>
    </row>
    <row r="102" customFormat="false" ht="15.75" hidden="false" customHeight="false" outlineLevel="0" collapsed="false">
      <c r="A102" s="4"/>
      <c r="B102" s="3"/>
      <c r="C102" s="3"/>
    </row>
    <row r="103" customFormat="false" ht="15.75" hidden="false" customHeight="false" outlineLevel="0" collapsed="false">
      <c r="A103" s="4"/>
      <c r="B103" s="3"/>
      <c r="C103" s="3"/>
    </row>
    <row r="104" customFormat="false" ht="15.75" hidden="false" customHeight="false" outlineLevel="0" collapsed="false">
      <c r="A104" s="4"/>
      <c r="B104" s="3"/>
      <c r="C104" s="3"/>
    </row>
    <row r="105" customFormat="false" ht="15.75" hidden="false" customHeight="false" outlineLevel="0" collapsed="false">
      <c r="A105" s="4"/>
      <c r="B105" s="3"/>
      <c r="C105" s="3"/>
    </row>
    <row r="106" customFormat="false" ht="15.75" hidden="false" customHeight="false" outlineLevel="0" collapsed="false">
      <c r="A106" s="4"/>
      <c r="B106" s="3"/>
      <c r="C106" s="3"/>
    </row>
    <row r="107" customFormat="false" ht="15.75" hidden="false" customHeight="false" outlineLevel="0" collapsed="false">
      <c r="A107" s="4"/>
      <c r="B107" s="3"/>
      <c r="C107" s="3"/>
    </row>
    <row r="108" customFormat="false" ht="15.75" hidden="false" customHeight="false" outlineLevel="0" collapsed="false">
      <c r="A108" s="4"/>
      <c r="B108" s="3"/>
      <c r="C108" s="3"/>
    </row>
    <row r="109" customFormat="false" ht="15.75" hidden="false" customHeight="false" outlineLevel="0" collapsed="false">
      <c r="A109" s="4"/>
      <c r="B109" s="3"/>
      <c r="C109" s="3"/>
    </row>
    <row r="110" customFormat="false" ht="15.75" hidden="false" customHeight="false" outlineLevel="0" collapsed="false">
      <c r="A110" s="4"/>
      <c r="B110" s="3"/>
      <c r="C110" s="3"/>
    </row>
    <row r="111" customFormat="false" ht="15.75" hidden="false" customHeight="false" outlineLevel="0" collapsed="false">
      <c r="A111" s="4"/>
      <c r="B111" s="3"/>
      <c r="C111" s="3"/>
    </row>
    <row r="112" customFormat="false" ht="15.75" hidden="false" customHeight="false" outlineLevel="0" collapsed="false">
      <c r="A112" s="4"/>
      <c r="B112" s="3"/>
      <c r="C112" s="3"/>
    </row>
    <row r="113" customFormat="false" ht="15.75" hidden="false" customHeight="false" outlineLevel="0" collapsed="false">
      <c r="A113" s="4"/>
    </row>
    <row r="114" customFormat="false" ht="15.75" hidden="false" customHeight="false" outlineLevel="0" collapsed="false">
      <c r="A114" s="4"/>
    </row>
    <row r="115" customFormat="false" ht="15.75" hidden="false" customHeight="false" outlineLevel="0" collapsed="false">
      <c r="A115" s="4"/>
    </row>
    <row r="116" customFormat="false" ht="15.75" hidden="false" customHeight="false" outlineLevel="0" collapsed="false">
      <c r="A116" s="4"/>
      <c r="B116" s="3"/>
      <c r="C116" s="3"/>
    </row>
    <row r="117" customFormat="false" ht="15.75" hidden="false" customHeight="false" outlineLevel="0" collapsed="false">
      <c r="A117" s="4"/>
    </row>
    <row r="118" customFormat="false" ht="15.75" hidden="false" customHeight="false" outlineLevel="0" collapsed="false">
      <c r="A118" s="4"/>
    </row>
    <row r="119" customFormat="false" ht="15.75" hidden="false" customHeight="false" outlineLevel="0" collapsed="false">
      <c r="A119" s="4"/>
    </row>
    <row r="120" customFormat="false" ht="15.75" hidden="false" customHeight="false" outlineLevel="0" collapsed="false">
      <c r="A120" s="4"/>
    </row>
    <row r="121" customFormat="false" ht="15.75" hidden="false" customHeight="false" outlineLevel="0" collapsed="false">
      <c r="A121" s="4"/>
    </row>
    <row r="122" customFormat="false" ht="15.75" hidden="false" customHeight="false" outlineLevel="0" collapsed="false">
      <c r="A122" s="4"/>
    </row>
    <row r="123" customFormat="false" ht="15.75" hidden="false" customHeight="false" outlineLevel="0" collapsed="false">
      <c r="A123" s="4"/>
      <c r="C123" s="3"/>
    </row>
    <row r="124" customFormat="false" ht="15.75" hidden="false" customHeight="false" outlineLevel="0" collapsed="false">
      <c r="A124" s="4"/>
      <c r="C124" s="3"/>
    </row>
    <row r="125" customFormat="false" ht="15.75" hidden="false" customHeight="false" outlineLevel="0" collapsed="false">
      <c r="A125" s="4"/>
    </row>
    <row r="126" customFormat="false" ht="15.75" hidden="false" customHeight="false" outlineLevel="0" collapsed="false">
      <c r="A126" s="4"/>
    </row>
    <row r="127" customFormat="false" ht="15.75" hidden="false" customHeight="false" outlineLevel="0" collapsed="false">
      <c r="A127" s="4"/>
    </row>
    <row r="128" customFormat="false" ht="15.75" hidden="false" customHeight="false" outlineLevel="0" collapsed="false">
      <c r="A128" s="4"/>
    </row>
    <row r="129" customFormat="false" ht="15.75" hidden="false" customHeight="false" outlineLevel="0" collapsed="false">
      <c r="A129" s="4"/>
    </row>
    <row r="130" customFormat="false" ht="15.75" hidden="false" customHeight="false" outlineLevel="0" collapsed="false">
      <c r="A130" s="4"/>
    </row>
    <row r="131" customFormat="false" ht="15.75" hidden="false" customHeight="false" outlineLevel="0" collapsed="false">
      <c r="A131" s="4"/>
    </row>
    <row r="132" customFormat="false" ht="15.75" hidden="false" customHeight="false" outlineLevel="0" collapsed="false">
      <c r="A132" s="4"/>
      <c r="C132" s="3"/>
    </row>
    <row r="133" customFormat="false" ht="15.75" hidden="false" customHeight="false" outlineLevel="0" collapsed="false">
      <c r="A133" s="4"/>
      <c r="C133" s="3"/>
    </row>
    <row r="134" customFormat="false" ht="15.75" hidden="false" customHeight="false" outlineLevel="0" collapsed="false">
      <c r="A134" s="4"/>
      <c r="C134" s="3"/>
    </row>
    <row r="135" customFormat="false" ht="15.75" hidden="false" customHeight="false" outlineLevel="0" collapsed="false">
      <c r="A135" s="4"/>
      <c r="C135" s="3"/>
    </row>
    <row r="136" customFormat="false" ht="15.75" hidden="false" customHeight="false" outlineLevel="0" collapsed="false">
      <c r="A136" s="4"/>
      <c r="C136" s="3"/>
    </row>
    <row r="137" customFormat="false" ht="15.75" hidden="false" customHeight="false" outlineLevel="0" collapsed="false">
      <c r="A137" s="4"/>
      <c r="C137" s="3"/>
    </row>
    <row r="138" customFormat="false" ht="15.75" hidden="false" customHeight="false" outlineLevel="0" collapsed="false">
      <c r="A138" s="4"/>
    </row>
    <row r="139" customFormat="false" ht="15.75" hidden="false" customHeight="false" outlineLevel="0" collapsed="false">
      <c r="A139" s="4"/>
      <c r="B139" s="3"/>
    </row>
    <row r="140" customFormat="false" ht="15.75" hidden="false" customHeight="false" outlineLevel="0" collapsed="false">
      <c r="A140" s="4"/>
    </row>
    <row r="141" customFormat="false" ht="15.75" hidden="false" customHeight="false" outlineLevel="0" collapsed="false">
      <c r="A141" s="4"/>
      <c r="B141" s="3"/>
    </row>
    <row r="142" customFormat="false" ht="15.75" hidden="false" customHeight="false" outlineLevel="0" collapsed="false">
      <c r="A142" s="4"/>
      <c r="B142" s="3"/>
    </row>
    <row r="143" customFormat="false" ht="15.75" hidden="false" customHeight="false" outlineLevel="0" collapsed="false">
      <c r="A143" s="4"/>
      <c r="C143" s="3"/>
    </row>
    <row r="144" customFormat="false" ht="15.75" hidden="false" customHeight="false" outlineLevel="0" collapsed="false">
      <c r="A144" s="4"/>
      <c r="C144" s="3"/>
    </row>
    <row r="145" customFormat="false" ht="15.75" hidden="false" customHeight="false" outlineLevel="0" collapsed="false">
      <c r="A145" s="4"/>
      <c r="C145" s="3"/>
    </row>
    <row r="146" customFormat="false" ht="15.75" hidden="false" customHeight="false" outlineLevel="0" collapsed="false">
      <c r="A146" s="4"/>
      <c r="C146" s="3"/>
    </row>
    <row r="147" customFormat="false" ht="15.75" hidden="false" customHeight="false" outlineLevel="0" collapsed="false">
      <c r="A147" s="4"/>
      <c r="C147" s="3"/>
    </row>
    <row r="148" customFormat="false" ht="15.75" hidden="false" customHeight="false" outlineLevel="0" collapsed="false">
      <c r="A148" s="4"/>
      <c r="C148" s="3"/>
    </row>
    <row r="149" customFormat="false" ht="15.75" hidden="false" customHeight="false" outlineLevel="0" collapsed="false">
      <c r="A149" s="4"/>
      <c r="C149" s="3"/>
    </row>
    <row r="150" customFormat="false" ht="15.75" hidden="false" customHeight="false" outlineLevel="0" collapsed="false">
      <c r="A150" s="4"/>
    </row>
    <row r="151" customFormat="false" ht="15.75" hidden="false" customHeight="false" outlineLevel="0" collapsed="false">
      <c r="A151" s="4"/>
      <c r="C151" s="3"/>
    </row>
    <row r="152" customFormat="false" ht="15.75" hidden="false" customHeight="false" outlineLevel="0" collapsed="false">
      <c r="A152" s="4"/>
      <c r="C152" s="3"/>
    </row>
    <row r="153" customFormat="false" ht="15.75" hidden="false" customHeight="false" outlineLevel="0" collapsed="false">
      <c r="A153" s="4"/>
    </row>
    <row r="154" customFormat="false" ht="15.75" hidden="false" customHeight="false" outlineLevel="0" collapsed="false">
      <c r="A154" s="4"/>
    </row>
    <row r="155" customFormat="false" ht="15.75" hidden="false" customHeight="false" outlineLevel="0" collapsed="false">
      <c r="A155" s="4"/>
      <c r="C155" s="3"/>
    </row>
    <row r="156" customFormat="false" ht="15.75" hidden="false" customHeight="false" outlineLevel="0" collapsed="false">
      <c r="A156" s="4"/>
      <c r="C156" s="3"/>
    </row>
    <row r="157" customFormat="false" ht="15.75" hidden="false" customHeight="false" outlineLevel="0" collapsed="false">
      <c r="A157" s="4"/>
      <c r="C157" s="3"/>
    </row>
    <row r="158" customFormat="false" ht="15.75" hidden="false" customHeight="false" outlineLevel="0" collapsed="false">
      <c r="A158" s="4"/>
      <c r="B158" s="3"/>
      <c r="C158" s="3"/>
    </row>
    <row r="159" customFormat="false" ht="15.75" hidden="false" customHeight="false" outlineLevel="0" collapsed="false">
      <c r="A159" s="4"/>
      <c r="B159" s="3"/>
      <c r="C159" s="3"/>
    </row>
    <row r="160" customFormat="false" ht="15.75" hidden="false" customHeight="false" outlineLevel="0" collapsed="false">
      <c r="A160" s="4"/>
    </row>
    <row r="161" customFormat="false" ht="15.75" hidden="false" customHeight="false" outlineLevel="0" collapsed="false">
      <c r="A161" s="4"/>
    </row>
    <row r="162" customFormat="false" ht="15.75" hidden="false" customHeight="false" outlineLevel="0" collapsed="false">
      <c r="A162" s="4"/>
    </row>
    <row r="163" customFormat="false" ht="15.75" hidden="false" customHeight="false" outlineLevel="0" collapsed="false">
      <c r="A163" s="4"/>
    </row>
    <row r="164" customFormat="false" ht="15.75" hidden="false" customHeight="false" outlineLevel="0" collapsed="false">
      <c r="A164" s="4"/>
    </row>
    <row r="165" customFormat="false" ht="15.75" hidden="false" customHeight="false" outlineLevel="0" collapsed="false">
      <c r="A165" s="4"/>
    </row>
    <row r="166" customFormat="false" ht="15.75" hidden="false" customHeight="false" outlineLevel="0" collapsed="false">
      <c r="A166" s="4"/>
    </row>
    <row r="167" customFormat="false" ht="15.75" hidden="false" customHeight="false" outlineLevel="0" collapsed="false">
      <c r="A167" s="4"/>
    </row>
    <row r="168" customFormat="false" ht="15.75" hidden="false" customHeight="false" outlineLevel="0" collapsed="false">
      <c r="A168" s="4"/>
    </row>
    <row r="171" customFormat="false" ht="15.75" hidden="false" customHeight="false" outlineLevel="0" collapsed="false">
      <c r="A171" s="4"/>
    </row>
    <row r="172" customFormat="false" ht="15.75" hidden="false" customHeight="false" outlineLevel="0" collapsed="false">
      <c r="A172" s="4"/>
    </row>
    <row r="173" customFormat="false" ht="15.75" hidden="false" customHeight="false" outlineLevel="0" collapsed="false">
      <c r="A173" s="4"/>
    </row>
    <row r="174" customFormat="false" ht="15.75" hidden="false" customHeight="false" outlineLevel="0" collapsed="false">
      <c r="A174" s="4"/>
    </row>
    <row r="175" customFormat="false" ht="15.75" hidden="false" customHeight="false" outlineLevel="0" collapsed="false">
      <c r="A175" s="4"/>
    </row>
    <row r="176" customFormat="false" ht="15.75" hidden="false" customHeight="false" outlineLevel="0" collapsed="false">
      <c r="A176" s="4"/>
      <c r="B176" s="3"/>
    </row>
    <row r="177" customFormat="false" ht="15.75" hidden="false" customHeight="false" outlineLevel="0" collapsed="false">
      <c r="A177" s="4"/>
    </row>
    <row r="178" customFormat="false" ht="15.75" hidden="false" customHeight="false" outlineLevel="0" collapsed="false">
      <c r="A178" s="4"/>
    </row>
    <row r="179" customFormat="false" ht="15.75" hidden="false" customHeight="false" outlineLevel="0" collapsed="false">
      <c r="A179" s="4"/>
      <c r="B179" s="3"/>
    </row>
    <row r="180" customFormat="false" ht="15.75" hidden="false" customHeight="false" outlineLevel="0" collapsed="false">
      <c r="A180" s="4"/>
      <c r="B180" s="3"/>
      <c r="C180" s="3"/>
    </row>
    <row r="181" customFormat="false" ht="15.75" hidden="false" customHeight="false" outlineLevel="0" collapsed="false">
      <c r="A181" s="4"/>
      <c r="B181" s="3"/>
      <c r="C181" s="3"/>
    </row>
    <row r="182" customFormat="false" ht="15.75" hidden="false" customHeight="false" outlineLevel="0" collapsed="false">
      <c r="A182" s="4"/>
      <c r="B182" s="3"/>
    </row>
    <row r="183" customFormat="false" ht="15.75" hidden="false" customHeight="false" outlineLevel="0" collapsed="false">
      <c r="A183" s="4"/>
      <c r="B183" s="3"/>
      <c r="C183" s="3"/>
    </row>
    <row r="184" customFormat="false" ht="15.75" hidden="false" customHeight="false" outlineLevel="0" collapsed="false">
      <c r="A184" s="4"/>
      <c r="B184" s="3"/>
      <c r="C184" s="3"/>
    </row>
    <row r="185" customFormat="false" ht="15.75" hidden="false" customHeight="false" outlineLevel="0" collapsed="false">
      <c r="A185" s="4"/>
      <c r="B185" s="3"/>
      <c r="C185" s="3"/>
    </row>
    <row r="186" customFormat="false" ht="15.75" hidden="false" customHeight="false" outlineLevel="0" collapsed="false">
      <c r="A186" s="4"/>
      <c r="B186" s="3"/>
      <c r="C186" s="3"/>
    </row>
    <row r="187" customFormat="false" ht="15.75" hidden="false" customHeight="false" outlineLevel="0" collapsed="false">
      <c r="A187" s="4"/>
      <c r="B187" s="3"/>
      <c r="C187" s="3"/>
    </row>
    <row r="188" customFormat="false" ht="15.75" hidden="false" customHeight="false" outlineLevel="0" collapsed="false">
      <c r="A188" s="4"/>
      <c r="B188" s="3"/>
    </row>
    <row r="189" customFormat="false" ht="15.75" hidden="false" customHeight="false" outlineLevel="0" collapsed="false">
      <c r="A189" s="3"/>
      <c r="B189" s="3"/>
    </row>
    <row r="190" customFormat="false" ht="15.75" hidden="false" customHeight="false" outlineLevel="0" collapsed="false">
      <c r="A190" s="3"/>
      <c r="B190" s="3"/>
    </row>
    <row r="191" customFormat="false" ht="15.75" hidden="false" customHeight="false" outlineLevel="0" collapsed="false">
      <c r="A191" s="4"/>
    </row>
    <row r="192" customFormat="false" ht="15.75" hidden="false" customHeight="false" outlineLevel="0" collapsed="false">
      <c r="A192" s="4"/>
      <c r="B192" s="3"/>
    </row>
    <row r="193" customFormat="false" ht="15.75" hidden="false" customHeight="false" outlineLevel="0" collapsed="false">
      <c r="A193" s="4"/>
      <c r="B193" s="3"/>
      <c r="C193" s="3"/>
    </row>
    <row r="194" customFormat="false" ht="15.75" hidden="false" customHeight="false" outlineLevel="0" collapsed="false">
      <c r="A194" s="4"/>
      <c r="B194" s="3"/>
      <c r="C194" s="3"/>
    </row>
    <row r="195" customFormat="false" ht="15.75" hidden="false" customHeight="false" outlineLevel="0" collapsed="false">
      <c r="A195" s="4"/>
    </row>
    <row r="196" customFormat="false" ht="15.75" hidden="false" customHeight="false" outlineLevel="0" collapsed="false">
      <c r="A196" s="4"/>
      <c r="B196" s="3"/>
    </row>
    <row r="197" customFormat="false" ht="15.75" hidden="false" customHeight="false" outlineLevel="0" collapsed="false">
      <c r="A197" s="4"/>
    </row>
    <row r="198" customFormat="false" ht="15.75" hidden="false" customHeight="false" outlineLevel="0" collapsed="false">
      <c r="A198" s="4"/>
    </row>
    <row r="199" customFormat="false" ht="15.75" hidden="false" customHeight="false" outlineLevel="0" collapsed="false">
      <c r="A199" s="4"/>
      <c r="C199" s="3"/>
    </row>
    <row r="200" customFormat="false" ht="15.75" hidden="false" customHeight="false" outlineLevel="0" collapsed="false">
      <c r="A200" s="4"/>
      <c r="B200" s="3"/>
    </row>
    <row r="201" customFormat="false" ht="15.75" hidden="false" customHeight="false" outlineLevel="0" collapsed="false">
      <c r="A201" s="3"/>
      <c r="C201" s="3"/>
    </row>
    <row r="202" customFormat="false" ht="15.75" hidden="false" customHeight="false" outlineLevel="0" collapsed="false">
      <c r="A202" s="3"/>
      <c r="B202" s="3"/>
      <c r="C202" s="3"/>
    </row>
    <row r="203" customFormat="false" ht="15.75" hidden="false" customHeight="false" outlineLevel="0" collapsed="false">
      <c r="A203" s="3"/>
      <c r="B203" s="3"/>
      <c r="C203" s="3"/>
    </row>
    <row r="204" customFormat="false" ht="15.75" hidden="false" customHeight="false" outlineLevel="0" collapsed="false">
      <c r="A204" s="3"/>
      <c r="B204" s="3"/>
      <c r="C204" s="3"/>
    </row>
    <row r="205" customFormat="false" ht="15.75" hidden="false" customHeight="false" outlineLevel="0" collapsed="false">
      <c r="A205" s="3"/>
      <c r="B205" s="3"/>
      <c r="C205" s="3"/>
    </row>
    <row r="206" customFormat="false" ht="15.75" hidden="false" customHeight="false" outlineLevel="0" collapsed="false">
      <c r="A206" s="3"/>
      <c r="B206" s="3"/>
      <c r="C206" s="3"/>
    </row>
    <row r="207" customFormat="false" ht="15.75" hidden="false" customHeight="false" outlineLevel="0" collapsed="false">
      <c r="A207" s="3"/>
      <c r="B207" s="3"/>
      <c r="C207" s="3"/>
    </row>
    <row r="208" customFormat="false" ht="15.75" hidden="false" customHeight="false" outlineLevel="0" collapsed="false">
      <c r="A208" s="3"/>
      <c r="B208" s="3"/>
      <c r="C208" s="3"/>
    </row>
    <row r="209" customFormat="false" ht="15.75" hidden="false" customHeight="false" outlineLevel="0" collapsed="false">
      <c r="A209" s="3"/>
      <c r="B209" s="3"/>
      <c r="C209" s="3"/>
    </row>
    <row r="210" customFormat="false" ht="15.75" hidden="false" customHeight="false" outlineLevel="0" collapsed="false">
      <c r="A210" s="3"/>
      <c r="B210" s="3"/>
      <c r="C210" s="3"/>
    </row>
    <row r="211" customFormat="false" ht="15.75" hidden="false" customHeight="false" outlineLevel="0" collapsed="false">
      <c r="A211" s="3"/>
      <c r="B211" s="3"/>
      <c r="C211" s="3"/>
    </row>
    <row r="212" customFormat="false" ht="15.75" hidden="false" customHeight="false" outlineLevel="0" collapsed="false">
      <c r="A212" s="3"/>
      <c r="B212" s="3"/>
      <c r="C212" s="3"/>
    </row>
    <row r="213" customFormat="false" ht="15.75" hidden="false" customHeight="false" outlineLevel="0" collapsed="false">
      <c r="A213" s="3"/>
      <c r="B213" s="3"/>
      <c r="C213" s="3"/>
    </row>
    <row r="214" customFormat="false" ht="15.75" hidden="false" customHeight="false" outlineLevel="0" collapsed="false">
      <c r="A214" s="4"/>
    </row>
    <row r="215" customFormat="false" ht="15.75" hidden="false" customHeight="false" outlineLevel="0" collapsed="false">
      <c r="A215" s="4"/>
    </row>
    <row r="216" customFormat="false" ht="15.75" hidden="false" customHeight="false" outlineLevel="0" collapsed="false">
      <c r="A216" s="4"/>
      <c r="B216" s="3"/>
    </row>
    <row r="217" customFormat="false" ht="15.75" hidden="false" customHeight="false" outlineLevel="0" collapsed="false">
      <c r="A217" s="4"/>
      <c r="B217" s="3"/>
    </row>
    <row r="218" customFormat="false" ht="15.75" hidden="false" customHeight="false" outlineLevel="0" collapsed="false">
      <c r="A218" s="4"/>
    </row>
    <row r="219" customFormat="false" ht="15.75" hidden="false" customHeight="false" outlineLevel="0" collapsed="false">
      <c r="A219" s="4"/>
      <c r="B219" s="3"/>
      <c r="C219" s="3"/>
    </row>
    <row r="220" customFormat="false" ht="15.75" hidden="false" customHeight="false" outlineLevel="0" collapsed="false">
      <c r="A220" s="4"/>
      <c r="B220" s="3"/>
      <c r="C220" s="3"/>
    </row>
    <row r="221" customFormat="false" ht="15.75" hidden="false" customHeight="false" outlineLevel="0" collapsed="false">
      <c r="A221" s="4"/>
    </row>
    <row r="222" customFormat="false" ht="15.75" hidden="false" customHeight="false" outlineLevel="0" collapsed="false">
      <c r="A222" s="4"/>
      <c r="C222" s="3"/>
    </row>
    <row r="223" customFormat="false" ht="15.75" hidden="false" customHeight="false" outlineLevel="0" collapsed="false">
      <c r="A223" s="4"/>
      <c r="B223" s="3"/>
      <c r="C223" s="3"/>
    </row>
    <row r="224" customFormat="false" ht="15.75" hidden="false" customHeight="false" outlineLevel="0" collapsed="false">
      <c r="A224" s="4"/>
      <c r="B224" s="3"/>
      <c r="C224" s="3"/>
    </row>
    <row r="225" customFormat="false" ht="15.75" hidden="false" customHeight="false" outlineLevel="0" collapsed="false">
      <c r="A225" s="4"/>
      <c r="B225" s="3"/>
      <c r="C225" s="3"/>
    </row>
    <row r="226" customFormat="false" ht="15.75" hidden="false" customHeight="false" outlineLevel="0" collapsed="false">
      <c r="A226" s="4"/>
      <c r="B226" s="3"/>
      <c r="C226" s="3"/>
    </row>
    <row r="227" customFormat="false" ht="15.75" hidden="false" customHeight="false" outlineLevel="0" collapsed="false">
      <c r="A227" s="4"/>
      <c r="B227" s="3"/>
      <c r="C227" s="3"/>
    </row>
    <row r="228" customFormat="false" ht="15.75" hidden="false" customHeight="false" outlineLevel="0" collapsed="false">
      <c r="A228" s="4"/>
      <c r="B228" s="3"/>
      <c r="C228" s="3"/>
    </row>
    <row r="229" customFormat="false" ht="15.75" hidden="false" customHeight="false" outlineLevel="0" collapsed="false">
      <c r="A229" s="4"/>
      <c r="B229" s="3"/>
      <c r="C229" s="3"/>
    </row>
    <row r="230" customFormat="false" ht="15.75" hidden="false" customHeight="false" outlineLevel="0" collapsed="false">
      <c r="A230" s="4"/>
    </row>
    <row r="231" customFormat="false" ht="15.75" hidden="false" customHeight="false" outlineLevel="0" collapsed="false">
      <c r="A231" s="4"/>
      <c r="B231" s="3"/>
      <c r="C231" s="3"/>
    </row>
    <row r="232" customFormat="false" ht="15.75" hidden="false" customHeight="false" outlineLevel="0" collapsed="false">
      <c r="A232" s="4"/>
      <c r="B232" s="3"/>
      <c r="C232" s="3"/>
    </row>
    <row r="233" customFormat="false" ht="15.75" hidden="false" customHeight="false" outlineLevel="0" collapsed="false">
      <c r="A233" s="4"/>
      <c r="B233" s="3"/>
      <c r="C233" s="3"/>
    </row>
    <row r="234" customFormat="false" ht="15.75" hidden="false" customHeight="false" outlineLevel="0" collapsed="false">
      <c r="A234" s="4"/>
      <c r="B234" s="3"/>
    </row>
    <row r="235" customFormat="false" ht="15.75" hidden="false" customHeight="false" outlineLevel="0" collapsed="false">
      <c r="A235" s="4"/>
      <c r="B235" s="3"/>
      <c r="C235" s="3"/>
    </row>
    <row r="236" customFormat="false" ht="15.75" hidden="false" customHeight="false" outlineLevel="0" collapsed="false">
      <c r="A236" s="4"/>
      <c r="B236" s="3"/>
      <c r="C236" s="3"/>
    </row>
    <row r="237" customFormat="false" ht="15.75" hidden="false" customHeight="false" outlineLevel="0" collapsed="false">
      <c r="A237" s="4"/>
      <c r="C237" s="3"/>
    </row>
    <row r="238" customFormat="false" ht="15.75" hidden="false" customHeight="false" outlineLevel="0" collapsed="false">
      <c r="A238" s="4"/>
      <c r="B238" s="3"/>
      <c r="C238" s="3"/>
    </row>
    <row r="239" customFormat="false" ht="15.75" hidden="false" customHeight="false" outlineLevel="0" collapsed="false">
      <c r="A239" s="4"/>
      <c r="B239" s="3"/>
      <c r="C239" s="3"/>
    </row>
    <row r="240" customFormat="false" ht="15.75" hidden="false" customHeight="false" outlineLevel="0" collapsed="false">
      <c r="A240" s="4"/>
      <c r="B240" s="3"/>
      <c r="C240" s="3"/>
    </row>
    <row r="241" customFormat="false" ht="15.75" hidden="false" customHeight="false" outlineLevel="0" collapsed="false">
      <c r="A241" s="4"/>
      <c r="B241" s="3"/>
      <c r="C241" s="3"/>
    </row>
    <row r="242" customFormat="false" ht="15.75" hidden="false" customHeight="false" outlineLevel="0" collapsed="false">
      <c r="A242" s="4"/>
      <c r="B242" s="3"/>
      <c r="C242" s="3"/>
    </row>
    <row r="243" customFormat="false" ht="15.75" hidden="false" customHeight="false" outlineLevel="0" collapsed="false">
      <c r="A243" s="4"/>
      <c r="B243" s="3"/>
      <c r="C243" s="3"/>
    </row>
    <row r="244" customFormat="false" ht="15.75" hidden="false" customHeight="false" outlineLevel="0" collapsed="false">
      <c r="A244" s="4"/>
      <c r="B244" s="3"/>
      <c r="C244" s="3"/>
    </row>
    <row r="245" customFormat="false" ht="15.75" hidden="false" customHeight="false" outlineLevel="0" collapsed="false">
      <c r="A245" s="4"/>
      <c r="B245" s="3"/>
      <c r="C245" s="3"/>
    </row>
    <row r="246" customFormat="false" ht="15.75" hidden="false" customHeight="false" outlineLevel="0" collapsed="false">
      <c r="A246" s="4"/>
      <c r="B246" s="3"/>
      <c r="C246" s="10"/>
    </row>
    <row r="247" customFormat="false" ht="15.75" hidden="false" customHeight="false" outlineLevel="0" collapsed="false">
      <c r="A247" s="4"/>
      <c r="B247" s="3"/>
      <c r="C247" s="3"/>
    </row>
    <row r="248" customFormat="false" ht="15.75" hidden="false" customHeight="false" outlineLevel="0" collapsed="false">
      <c r="A248" s="4"/>
      <c r="B248" s="3"/>
      <c r="C248" s="3"/>
    </row>
    <row r="249" customFormat="false" ht="15.75" hidden="false" customHeight="false" outlineLevel="0" collapsed="false">
      <c r="A249" s="4"/>
      <c r="B249" s="3"/>
      <c r="C249" s="3"/>
    </row>
    <row r="250" customFormat="false" ht="15.75" hidden="false" customHeight="false" outlineLevel="0" collapsed="false">
      <c r="A250" s="4"/>
      <c r="C250" s="3"/>
    </row>
    <row r="251" customFormat="false" ht="15.75" hidden="false" customHeight="false" outlineLevel="0" collapsed="false">
      <c r="A251" s="4"/>
      <c r="B251" s="3"/>
      <c r="C251" s="3"/>
    </row>
    <row r="252" customFormat="false" ht="15.75" hidden="false" customHeight="false" outlineLevel="0" collapsed="false">
      <c r="A252" s="4"/>
      <c r="B252" s="3"/>
      <c r="C252" s="3"/>
    </row>
    <row r="253" customFormat="false" ht="15.75" hidden="false" customHeight="false" outlineLevel="0" collapsed="false">
      <c r="A253" s="4"/>
      <c r="B253" s="3"/>
      <c r="C253" s="3"/>
    </row>
    <row r="254" customFormat="false" ht="15.75" hidden="false" customHeight="false" outlineLevel="0" collapsed="false">
      <c r="A254" s="4"/>
      <c r="B254" s="3"/>
      <c r="C254" s="3"/>
    </row>
    <row r="255" customFormat="false" ht="15.75" hidden="false" customHeight="false" outlineLevel="0" collapsed="false">
      <c r="A255" s="4"/>
      <c r="B255" s="3"/>
      <c r="C255" s="3"/>
    </row>
    <row r="256" customFormat="false" ht="15.75" hidden="false" customHeight="false" outlineLevel="0" collapsed="false">
      <c r="A256" s="4"/>
      <c r="B256" s="3"/>
      <c r="C256" s="3"/>
    </row>
    <row r="257" customFormat="false" ht="15.75" hidden="false" customHeight="false" outlineLevel="0" collapsed="false">
      <c r="A257" s="4"/>
      <c r="B257" s="3"/>
      <c r="C257" s="3"/>
    </row>
    <row r="258" customFormat="false" ht="15.75" hidden="false" customHeight="false" outlineLevel="0" collapsed="false">
      <c r="A258" s="4"/>
      <c r="B258" s="3"/>
      <c r="C258" s="3"/>
    </row>
    <row r="259" customFormat="false" ht="15.75" hidden="false" customHeight="false" outlineLevel="0" collapsed="false">
      <c r="A259" s="4"/>
      <c r="B259" s="3"/>
      <c r="C259" s="3"/>
    </row>
    <row r="260" customFormat="false" ht="15.75" hidden="false" customHeight="false" outlineLevel="0" collapsed="false">
      <c r="A260" s="4"/>
      <c r="B260" s="3"/>
      <c r="C260" s="3"/>
    </row>
    <row r="261" customFormat="false" ht="15.75" hidden="false" customHeight="false" outlineLevel="0" collapsed="false">
      <c r="A261" s="10"/>
      <c r="C261" s="10"/>
    </row>
    <row r="262" customFormat="false" ht="15.75" hidden="false" customHeight="false" outlineLevel="0" collapsed="false">
      <c r="A262" s="4"/>
      <c r="B262" s="3"/>
      <c r="C262" s="3"/>
    </row>
    <row r="263" customFormat="false" ht="15.75" hidden="false" customHeight="false" outlineLevel="0" collapsed="false">
      <c r="A263" s="4"/>
      <c r="B263" s="3"/>
      <c r="C263" s="3"/>
    </row>
    <row r="264" customFormat="false" ht="15.75" hidden="false" customHeight="false" outlineLevel="0" collapsed="false">
      <c r="A264" s="4"/>
      <c r="B264" s="3"/>
      <c r="C264" s="3"/>
    </row>
    <row r="265" customFormat="false" ht="15.75" hidden="false" customHeight="false" outlineLevel="0" collapsed="false">
      <c r="A265" s="4"/>
      <c r="B265" s="3"/>
      <c r="C265" s="3"/>
    </row>
    <row r="266" customFormat="false" ht="15.75" hidden="false" customHeight="false" outlineLevel="0" collapsed="false">
      <c r="A266" s="4"/>
      <c r="B266" s="3"/>
      <c r="C266" s="3"/>
    </row>
    <row r="267" customFormat="false" ht="15.75" hidden="false" customHeight="false" outlineLevel="0" collapsed="false">
      <c r="A267" s="4"/>
      <c r="B267" s="3"/>
      <c r="C267" s="3"/>
    </row>
    <row r="268" customFormat="false" ht="15.75" hidden="false" customHeight="false" outlineLevel="0" collapsed="false">
      <c r="A268" s="4"/>
      <c r="B268" s="3"/>
    </row>
    <row r="269" customFormat="false" ht="15.75" hidden="false" customHeight="false" outlineLevel="0" collapsed="false">
      <c r="A269" s="4"/>
      <c r="B269" s="3"/>
      <c r="C269" s="3"/>
    </row>
    <row r="270" customFormat="false" ht="15.75" hidden="false" customHeight="false" outlineLevel="0" collapsed="false">
      <c r="A270" s="4"/>
      <c r="B270" s="3"/>
      <c r="C270" s="3"/>
    </row>
    <row r="271" customFormat="false" ht="15.75" hidden="false" customHeight="false" outlineLevel="0" collapsed="false">
      <c r="A271" s="4"/>
      <c r="B271" s="3"/>
      <c r="C271" s="3"/>
    </row>
    <row r="272" customFormat="false" ht="15.75" hidden="false" customHeight="false" outlineLevel="0" collapsed="false">
      <c r="A272" s="4"/>
      <c r="B272" s="3"/>
      <c r="C272" s="3"/>
    </row>
    <row r="273" customFormat="false" ht="15.75" hidden="false" customHeight="false" outlineLevel="0" collapsed="false">
      <c r="A273" s="4"/>
      <c r="B273" s="3"/>
      <c r="C273" s="3"/>
    </row>
    <row r="274" customFormat="false" ht="15.75" hidden="false" customHeight="false" outlineLevel="0" collapsed="false">
      <c r="A274" s="4"/>
      <c r="B274" s="3"/>
      <c r="C274" s="3"/>
    </row>
    <row r="275" customFormat="false" ht="15.75" hidden="false" customHeight="false" outlineLevel="0" collapsed="false">
      <c r="A275" s="4"/>
      <c r="B275" s="3"/>
      <c r="C275" s="3"/>
    </row>
    <row r="276" customFormat="false" ht="15.75" hidden="false" customHeight="false" outlineLevel="0" collapsed="false">
      <c r="A276" s="4"/>
      <c r="B276" s="3"/>
      <c r="C276" s="3"/>
    </row>
    <row r="277" customFormat="false" ht="15.75" hidden="false" customHeight="false" outlineLevel="0" collapsed="false">
      <c r="A277" s="4"/>
      <c r="B277" s="3"/>
      <c r="C277" s="3"/>
    </row>
    <row r="278" customFormat="false" ht="15.75" hidden="false" customHeight="false" outlineLevel="0" collapsed="false">
      <c r="A278" s="4"/>
      <c r="B278" s="3"/>
      <c r="C278" s="3"/>
    </row>
    <row r="279" customFormat="false" ht="15.75" hidden="false" customHeight="false" outlineLevel="0" collapsed="false">
      <c r="A279" s="4"/>
      <c r="B279" s="3"/>
      <c r="C279" s="3"/>
    </row>
    <row r="280" customFormat="false" ht="15.75" hidden="false" customHeight="false" outlineLevel="0" collapsed="false">
      <c r="A280" s="4"/>
      <c r="B280" s="3"/>
      <c r="C280" s="3"/>
    </row>
    <row r="281" customFormat="false" ht="15.75" hidden="false" customHeight="false" outlineLevel="0" collapsed="false">
      <c r="A281" s="4"/>
      <c r="B281" s="3"/>
      <c r="C281" s="3"/>
    </row>
    <row r="282" customFormat="false" ht="15.75" hidden="false" customHeight="false" outlineLevel="0" collapsed="false">
      <c r="A282" s="4"/>
      <c r="B282" s="3"/>
      <c r="C282" s="3"/>
    </row>
    <row r="283" customFormat="false" ht="15.75" hidden="false" customHeight="false" outlineLevel="0" collapsed="false">
      <c r="A283" s="4"/>
      <c r="B283" s="3"/>
      <c r="C283" s="3"/>
    </row>
    <row r="284" customFormat="false" ht="15.75" hidden="false" customHeight="false" outlineLevel="0" collapsed="false">
      <c r="A284" s="4"/>
      <c r="B284" s="3"/>
    </row>
    <row r="285" customFormat="false" ht="15.75" hidden="false" customHeight="false" outlineLevel="0" collapsed="false">
      <c r="A285" s="4"/>
      <c r="B285" s="3"/>
      <c r="C285" s="3"/>
    </row>
    <row r="286" customFormat="false" ht="15.75" hidden="false" customHeight="false" outlineLevel="0" collapsed="false">
      <c r="A286" s="4"/>
      <c r="B286" s="3"/>
    </row>
    <row r="287" customFormat="false" ht="15.75" hidden="false" customHeight="false" outlineLevel="0" collapsed="false">
      <c r="A287" s="4"/>
      <c r="B287" s="3"/>
    </row>
    <row r="288" customFormat="false" ht="15.75" hidden="false" customHeight="false" outlineLevel="0" collapsed="false">
      <c r="A288" s="4"/>
      <c r="B288" s="3"/>
      <c r="C288" s="3"/>
    </row>
    <row r="289" customFormat="false" ht="15.75" hidden="false" customHeight="false" outlineLevel="0" collapsed="false">
      <c r="A289" s="4"/>
      <c r="B289" s="3"/>
      <c r="C289" s="3"/>
    </row>
    <row r="290" customFormat="false" ht="15.75" hidden="false" customHeight="false" outlineLevel="0" collapsed="false">
      <c r="A290" s="4"/>
      <c r="B290" s="3"/>
      <c r="C290" s="3"/>
    </row>
    <row r="291" customFormat="false" ht="15.75" hidden="false" customHeight="false" outlineLevel="0" collapsed="false">
      <c r="A291" s="4"/>
      <c r="B291" s="3"/>
    </row>
    <row r="292" customFormat="false" ht="15.75" hidden="false" customHeight="false" outlineLevel="0" collapsed="false">
      <c r="A292" s="4"/>
      <c r="B292" s="3"/>
      <c r="C292" s="3"/>
    </row>
    <row r="293" customFormat="false" ht="15.75" hidden="false" customHeight="false" outlineLevel="0" collapsed="false">
      <c r="A293" s="4"/>
      <c r="B293" s="3"/>
    </row>
    <row r="294" customFormat="false" ht="15.75" hidden="false" customHeight="false" outlineLevel="0" collapsed="false">
      <c r="A294" s="4"/>
      <c r="B294" s="3"/>
      <c r="C294" s="3"/>
    </row>
    <row r="295" customFormat="false" ht="15.75" hidden="false" customHeight="false" outlineLevel="0" collapsed="false">
      <c r="A295" s="4"/>
      <c r="B295" s="3"/>
      <c r="C295" s="3"/>
    </row>
    <row r="296" customFormat="false" ht="15.75" hidden="false" customHeight="false" outlineLevel="0" collapsed="false">
      <c r="A296" s="4"/>
      <c r="B296" s="3"/>
      <c r="C296" s="3"/>
    </row>
    <row r="297" customFormat="false" ht="15.75" hidden="false" customHeight="false" outlineLevel="0" collapsed="false">
      <c r="A297" s="4"/>
      <c r="B297" s="3"/>
    </row>
    <row r="298" customFormat="false" ht="15.75" hidden="false" customHeight="false" outlineLevel="0" collapsed="false">
      <c r="A298" s="4"/>
      <c r="B298" s="3"/>
    </row>
    <row r="299" customFormat="false" ht="15.75" hidden="false" customHeight="false" outlineLevel="0" collapsed="false">
      <c r="A299" s="4"/>
      <c r="B299" s="3"/>
    </row>
    <row r="300" customFormat="false" ht="15.75" hidden="false" customHeight="false" outlineLevel="0" collapsed="false">
      <c r="A300" s="4"/>
      <c r="B300" s="3"/>
      <c r="C300" s="3"/>
    </row>
    <row r="301" customFormat="false" ht="15.75" hidden="false" customHeight="false" outlineLevel="0" collapsed="false">
      <c r="A301" s="4"/>
      <c r="B301" s="3"/>
    </row>
    <row r="302" customFormat="false" ht="15.75" hidden="false" customHeight="false" outlineLevel="0" collapsed="false">
      <c r="A302" s="4"/>
      <c r="B302" s="3"/>
      <c r="C302" s="3"/>
    </row>
    <row r="303" customFormat="false" ht="15.75" hidden="false" customHeight="false" outlineLevel="0" collapsed="false">
      <c r="A303" s="4"/>
      <c r="B303" s="3"/>
      <c r="C303" s="3"/>
    </row>
    <row r="304" customFormat="false" ht="15.75" hidden="false" customHeight="false" outlineLevel="0" collapsed="false">
      <c r="A304" s="4"/>
      <c r="B304" s="3"/>
      <c r="C304" s="3"/>
    </row>
    <row r="305" customFormat="false" ht="15.75" hidden="false" customHeight="false" outlineLevel="0" collapsed="false">
      <c r="A305" s="4"/>
      <c r="B305" s="3"/>
      <c r="C305" s="3"/>
    </row>
    <row r="306" customFormat="false" ht="15.75" hidden="false" customHeight="false" outlineLevel="0" collapsed="false">
      <c r="A306" s="4"/>
      <c r="B306" s="3"/>
      <c r="C306" s="3"/>
    </row>
    <row r="307" customFormat="false" ht="15.75" hidden="false" customHeight="false" outlineLevel="0" collapsed="false">
      <c r="A307" s="4"/>
      <c r="B307" s="3"/>
      <c r="C307" s="3"/>
    </row>
    <row r="308" customFormat="false" ht="15.75" hidden="false" customHeight="false" outlineLevel="0" collapsed="false">
      <c r="A308" s="4"/>
      <c r="B308" s="3"/>
      <c r="C308" s="3"/>
    </row>
    <row r="309" customFormat="false" ht="15.75" hidden="false" customHeight="false" outlineLevel="0" collapsed="false">
      <c r="A309" s="4"/>
      <c r="B309" s="3"/>
      <c r="C309" s="3"/>
    </row>
    <row r="310" customFormat="false" ht="15.75" hidden="false" customHeight="false" outlineLevel="0" collapsed="false">
      <c r="A310" s="4"/>
      <c r="B310" s="3"/>
      <c r="C310" s="3"/>
    </row>
    <row r="311" customFormat="false" ht="15.75" hidden="false" customHeight="false" outlineLevel="0" collapsed="false">
      <c r="A311" s="4"/>
      <c r="B311" s="3"/>
      <c r="C311" s="3"/>
    </row>
    <row r="312" customFormat="false" ht="15.75" hidden="false" customHeight="false" outlineLevel="0" collapsed="false">
      <c r="A312" s="4"/>
      <c r="B312" s="3"/>
      <c r="C312" s="3"/>
    </row>
    <row r="313" customFormat="false" ht="15.75" hidden="false" customHeight="false" outlineLevel="0" collapsed="false">
      <c r="A313" s="4"/>
      <c r="B313" s="3"/>
      <c r="C313" s="3"/>
    </row>
    <row r="314" customFormat="false" ht="15.75" hidden="false" customHeight="false" outlineLevel="0" collapsed="false">
      <c r="A314" s="4"/>
      <c r="B314" s="3"/>
      <c r="C314" s="3"/>
    </row>
    <row r="315" customFormat="false" ht="15.75" hidden="false" customHeight="false" outlineLevel="0" collapsed="false">
      <c r="A315" s="4"/>
      <c r="B315" s="3"/>
      <c r="C315" s="3"/>
    </row>
    <row r="316" customFormat="false" ht="15.75" hidden="false" customHeight="false" outlineLevel="0" collapsed="false">
      <c r="A316" s="4"/>
      <c r="B316" s="3"/>
      <c r="C316" s="3"/>
    </row>
    <row r="317" customFormat="false" ht="15.75" hidden="false" customHeight="false" outlineLevel="0" collapsed="false">
      <c r="A317" s="4"/>
      <c r="B317" s="3"/>
      <c r="C317" s="3"/>
    </row>
    <row r="318" customFormat="false" ht="15.75" hidden="false" customHeight="false" outlineLevel="0" collapsed="false">
      <c r="A318" s="4"/>
      <c r="B318" s="3"/>
      <c r="C318" s="3"/>
    </row>
    <row r="319" customFormat="false" ht="15.75" hidden="false" customHeight="false" outlineLevel="0" collapsed="false">
      <c r="A319" s="4"/>
      <c r="B319" s="3"/>
      <c r="C319" s="3"/>
    </row>
    <row r="320" customFormat="false" ht="15.75" hidden="false" customHeight="false" outlineLevel="0" collapsed="false">
      <c r="A320" s="4"/>
      <c r="B320" s="3"/>
      <c r="C320" s="3"/>
    </row>
    <row r="321" customFormat="false" ht="15.75" hidden="false" customHeight="false" outlineLevel="0" collapsed="false">
      <c r="A321" s="4"/>
      <c r="B321" s="3"/>
      <c r="C321" s="3"/>
    </row>
    <row r="322" customFormat="false" ht="15.75" hidden="false" customHeight="false" outlineLevel="0" collapsed="false">
      <c r="A322" s="4"/>
      <c r="B322" s="3"/>
      <c r="C322" s="3"/>
    </row>
    <row r="323" customFormat="false" ht="15.75" hidden="false" customHeight="false" outlineLevel="0" collapsed="false">
      <c r="A323" s="4"/>
      <c r="B323" s="3"/>
      <c r="C323" s="3"/>
    </row>
    <row r="324" customFormat="false" ht="15.75" hidden="false" customHeight="false" outlineLevel="0" collapsed="false">
      <c r="A324" s="4"/>
      <c r="B324" s="3"/>
      <c r="C324" s="3"/>
    </row>
    <row r="325" customFormat="false" ht="15.75" hidden="false" customHeight="false" outlineLevel="0" collapsed="false">
      <c r="A325" s="4"/>
      <c r="B325" s="3"/>
      <c r="C325" s="3"/>
    </row>
    <row r="326" customFormat="false" ht="15.75" hidden="false" customHeight="false" outlineLevel="0" collapsed="false">
      <c r="A326" s="4"/>
      <c r="B326" s="3"/>
      <c r="C326" s="3"/>
    </row>
    <row r="327" customFormat="false" ht="15.75" hidden="false" customHeight="false" outlineLevel="0" collapsed="false">
      <c r="A327" s="4"/>
      <c r="B327" s="3"/>
      <c r="C327" s="3"/>
    </row>
    <row r="328" customFormat="false" ht="15.75" hidden="false" customHeight="false" outlineLevel="0" collapsed="false">
      <c r="A328" s="4"/>
      <c r="B328" s="3"/>
      <c r="C328" s="3"/>
    </row>
    <row r="329" customFormat="false" ht="15.75" hidden="false" customHeight="false" outlineLevel="0" collapsed="false">
      <c r="A329" s="4"/>
      <c r="B329" s="3"/>
      <c r="C329" s="3"/>
    </row>
    <row r="330" customFormat="false" ht="15.75" hidden="false" customHeight="false" outlineLevel="0" collapsed="false">
      <c r="A330" s="4"/>
      <c r="B330" s="3"/>
      <c r="C330" s="3"/>
    </row>
    <row r="331" customFormat="false" ht="15.75" hidden="false" customHeight="false" outlineLevel="0" collapsed="false">
      <c r="A331" s="4"/>
      <c r="B331" s="3"/>
      <c r="C331" s="3"/>
    </row>
    <row r="332" customFormat="false" ht="15.75" hidden="false" customHeight="false" outlineLevel="0" collapsed="false">
      <c r="A332" s="4"/>
      <c r="B332" s="3"/>
      <c r="C332" s="3"/>
    </row>
    <row r="333" customFormat="false" ht="15.75" hidden="false" customHeight="false" outlineLevel="0" collapsed="false">
      <c r="A333" s="4"/>
      <c r="B333" s="3"/>
      <c r="C333" s="3"/>
    </row>
    <row r="334" customFormat="false" ht="15.75" hidden="false" customHeight="false" outlineLevel="0" collapsed="false">
      <c r="A334" s="4"/>
      <c r="B334" s="3"/>
      <c r="C334" s="3"/>
    </row>
    <row r="335" customFormat="false" ht="15.75" hidden="false" customHeight="false" outlineLevel="0" collapsed="false">
      <c r="A335" s="4"/>
      <c r="B335" s="3"/>
      <c r="C335" s="3"/>
    </row>
    <row r="336" customFormat="false" ht="15.75" hidden="false" customHeight="false" outlineLevel="0" collapsed="false">
      <c r="A336" s="4"/>
      <c r="B336" s="3"/>
      <c r="C336" s="3"/>
    </row>
    <row r="337" customFormat="false" ht="15.75" hidden="false" customHeight="false" outlineLevel="0" collapsed="false">
      <c r="A337" s="4"/>
      <c r="B337" s="3"/>
      <c r="C337" s="3"/>
    </row>
    <row r="338" customFormat="false" ht="15.75" hidden="false" customHeight="false" outlineLevel="0" collapsed="false">
      <c r="A338" s="4"/>
      <c r="B338" s="3"/>
      <c r="C338" s="3"/>
    </row>
    <row r="339" customFormat="false" ht="15.75" hidden="false" customHeight="false" outlineLevel="0" collapsed="false">
      <c r="A339" s="4"/>
      <c r="B339" s="3"/>
      <c r="C339" s="3"/>
    </row>
    <row r="340" customFormat="false" ht="15.75" hidden="false" customHeight="false" outlineLevel="0" collapsed="false">
      <c r="A340" s="4"/>
      <c r="B340" s="3"/>
      <c r="C340" s="3"/>
    </row>
    <row r="341" customFormat="false" ht="15.75" hidden="false" customHeight="false" outlineLevel="0" collapsed="false">
      <c r="A341" s="4"/>
      <c r="B341" s="3"/>
      <c r="C341" s="3"/>
    </row>
    <row r="342" customFormat="false" ht="15.75" hidden="false" customHeight="false" outlineLevel="0" collapsed="false">
      <c r="A342" s="4"/>
      <c r="B342" s="3"/>
      <c r="C342" s="3"/>
    </row>
    <row r="343" customFormat="false" ht="15.75" hidden="false" customHeight="false" outlineLevel="0" collapsed="false">
      <c r="A343" s="4"/>
      <c r="B343" s="3"/>
      <c r="C343" s="3"/>
    </row>
    <row r="344" customFormat="false" ht="15.75" hidden="false" customHeight="false" outlineLevel="0" collapsed="false">
      <c r="A344" s="4"/>
      <c r="B344" s="3"/>
      <c r="C344" s="3"/>
    </row>
    <row r="345" customFormat="false" ht="15.75" hidden="false" customHeight="false" outlineLevel="0" collapsed="false">
      <c r="A345" s="4"/>
      <c r="B345" s="3"/>
      <c r="C345" s="3"/>
    </row>
    <row r="346" customFormat="false" ht="15.75" hidden="false" customHeight="false" outlineLevel="0" collapsed="false">
      <c r="A346" s="4"/>
      <c r="B346" s="3"/>
      <c r="C346" s="3"/>
    </row>
    <row r="347" customFormat="false" ht="15.75" hidden="false" customHeight="false" outlineLevel="0" collapsed="false">
      <c r="A347" s="4"/>
      <c r="B347" s="3"/>
      <c r="C347" s="3"/>
    </row>
    <row r="348" customFormat="false" ht="15.75" hidden="false" customHeight="false" outlineLevel="0" collapsed="false">
      <c r="A348" s="4"/>
      <c r="B348" s="3"/>
      <c r="C348" s="3"/>
    </row>
    <row r="349" customFormat="false" ht="15.75" hidden="false" customHeight="false" outlineLevel="0" collapsed="false">
      <c r="A349" s="4"/>
      <c r="B349" s="3"/>
      <c r="C349" s="3"/>
    </row>
    <row r="350" customFormat="false" ht="15.75" hidden="false" customHeight="false" outlineLevel="0" collapsed="false">
      <c r="A350" s="4"/>
      <c r="B350" s="3"/>
      <c r="C350" s="3"/>
    </row>
    <row r="351" customFormat="false" ht="15.75" hidden="false" customHeight="false" outlineLevel="0" collapsed="false">
      <c r="A351" s="4"/>
      <c r="B351" s="3"/>
      <c r="C351" s="3"/>
    </row>
    <row r="352" customFormat="false" ht="15.75" hidden="false" customHeight="false" outlineLevel="0" collapsed="false">
      <c r="A352" s="4"/>
      <c r="B352" s="3"/>
      <c r="C352" s="3"/>
    </row>
    <row r="353" customFormat="false" ht="15.75" hidden="false" customHeight="false" outlineLevel="0" collapsed="false">
      <c r="A353" s="4"/>
      <c r="B353" s="3"/>
      <c r="C353" s="3"/>
    </row>
    <row r="354" customFormat="false" ht="15.75" hidden="false" customHeight="false" outlineLevel="0" collapsed="false">
      <c r="A354" s="4"/>
      <c r="B354" s="3"/>
      <c r="C354" s="3"/>
    </row>
    <row r="355" customFormat="false" ht="15.75" hidden="false" customHeight="false" outlineLevel="0" collapsed="false">
      <c r="A355" s="4"/>
      <c r="B355" s="3"/>
      <c r="C355" s="3"/>
    </row>
    <row r="356" customFormat="false" ht="15.75" hidden="false" customHeight="false" outlineLevel="0" collapsed="false">
      <c r="A356" s="4"/>
      <c r="B356" s="3"/>
      <c r="C356" s="3"/>
    </row>
    <row r="357" customFormat="false" ht="15.75" hidden="false" customHeight="false" outlineLevel="0" collapsed="false">
      <c r="A357" s="4"/>
      <c r="B357" s="3"/>
      <c r="C357" s="3"/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4"/>
      <c r="B362" s="3"/>
      <c r="C362" s="3"/>
    </row>
    <row r="363" customFormat="false" ht="15.75" hidden="false" customHeight="false" outlineLevel="0" collapsed="false">
      <c r="A363" s="4"/>
      <c r="B363" s="3"/>
      <c r="C363" s="3"/>
    </row>
    <row r="364" customFormat="false" ht="15.75" hidden="false" customHeight="false" outlineLevel="0" collapsed="false">
      <c r="A364" s="4"/>
      <c r="B364" s="3"/>
      <c r="C364" s="3"/>
    </row>
    <row r="365" customFormat="false" ht="15.75" hidden="false" customHeight="false" outlineLevel="0" collapsed="false">
      <c r="A365" s="4"/>
      <c r="B365" s="3"/>
      <c r="C365" s="3"/>
    </row>
    <row r="366" customFormat="false" ht="15.75" hidden="false" customHeight="false" outlineLevel="0" collapsed="false">
      <c r="A366" s="4"/>
      <c r="B366" s="3"/>
      <c r="C366" s="3"/>
    </row>
    <row r="367" customFormat="false" ht="15.75" hidden="false" customHeight="false" outlineLevel="0" collapsed="false">
      <c r="A367" s="4"/>
      <c r="B367" s="3"/>
      <c r="C367" s="3"/>
    </row>
    <row r="368" customFormat="false" ht="15.75" hidden="false" customHeight="false" outlineLevel="0" collapsed="false">
      <c r="A368" s="4"/>
      <c r="B368" s="3"/>
      <c r="C368" s="3"/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4"/>
      <c r="B372" s="3"/>
      <c r="C372" s="3"/>
    </row>
    <row r="373" customFormat="false" ht="15.75" hidden="false" customHeight="false" outlineLevel="0" collapsed="false">
      <c r="A373" s="4"/>
      <c r="B373" s="3"/>
      <c r="C373" s="3"/>
    </row>
    <row r="374" customFormat="false" ht="15.75" hidden="false" customHeight="false" outlineLevel="0" collapsed="false">
      <c r="A374" s="4"/>
      <c r="B374" s="3"/>
      <c r="C374" s="3"/>
    </row>
    <row r="375" customFormat="false" ht="15.75" hidden="false" customHeight="false" outlineLevel="0" collapsed="false">
      <c r="A375" s="4"/>
      <c r="B375" s="3"/>
      <c r="C375" s="3"/>
    </row>
    <row r="376" customFormat="false" ht="15.75" hidden="false" customHeight="false" outlineLevel="0" collapsed="false">
      <c r="A376" s="4"/>
      <c r="B376" s="3"/>
      <c r="C376" s="3"/>
    </row>
    <row r="377" customFormat="false" ht="15.75" hidden="false" customHeight="false" outlineLevel="0" collapsed="false">
      <c r="A377" s="4"/>
      <c r="B377" s="3"/>
      <c r="C377" s="3"/>
    </row>
    <row r="378" customFormat="false" ht="15.75" hidden="false" customHeight="false" outlineLevel="0" collapsed="false">
      <c r="A378" s="4"/>
      <c r="B378" s="3"/>
      <c r="C378" s="3"/>
    </row>
    <row r="379" customFormat="false" ht="15.75" hidden="false" customHeight="false" outlineLevel="0" collapsed="false">
      <c r="A379" s="4"/>
      <c r="B379" s="3"/>
      <c r="C379" s="3"/>
    </row>
    <row r="380" customFormat="false" ht="15.75" hidden="false" customHeight="false" outlineLevel="0" collapsed="false">
      <c r="A380" s="4"/>
      <c r="B380" s="3"/>
      <c r="C380" s="3"/>
    </row>
    <row r="381" customFormat="false" ht="15.75" hidden="false" customHeight="false" outlineLevel="0" collapsed="false">
      <c r="A381" s="4"/>
      <c r="B381" s="3"/>
      <c r="C381" s="3"/>
    </row>
    <row r="382" customFormat="false" ht="15.75" hidden="false" customHeight="false" outlineLevel="0" collapsed="false">
      <c r="A382" s="4"/>
      <c r="B382" s="3"/>
      <c r="C382" s="3"/>
    </row>
    <row r="383" customFormat="false" ht="15.75" hidden="false" customHeight="false" outlineLevel="0" collapsed="false">
      <c r="A383" s="4"/>
      <c r="B383" s="3"/>
      <c r="C383" s="3"/>
    </row>
    <row r="384" customFormat="false" ht="15.75" hidden="false" customHeight="false" outlineLevel="0" collapsed="false">
      <c r="A384" s="4"/>
      <c r="B384" s="3"/>
      <c r="C384" s="3"/>
    </row>
    <row r="385" customFormat="false" ht="15.75" hidden="false" customHeight="false" outlineLevel="0" collapsed="false">
      <c r="A385" s="4"/>
      <c r="B385" s="3"/>
      <c r="C385" s="3"/>
    </row>
    <row r="386" customFormat="false" ht="15.75" hidden="false" customHeight="false" outlineLevel="0" collapsed="false">
      <c r="A386" s="4"/>
      <c r="B386" s="3"/>
      <c r="C386" s="3"/>
    </row>
    <row r="387" customFormat="false" ht="15.75" hidden="false" customHeight="false" outlineLevel="0" collapsed="false">
      <c r="A387" s="4"/>
      <c r="B387" s="3"/>
      <c r="C387" s="3"/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</row>
    <row r="395" customFormat="false" ht="15.75" hidden="false" customHeight="false" outlineLevel="0" collapsed="false">
      <c r="A395" s="4"/>
      <c r="B395" s="3"/>
      <c r="C395" s="3"/>
    </row>
    <row r="396" customFormat="false" ht="15.75" hidden="false" customHeight="false" outlineLevel="0" collapsed="false">
      <c r="A396" s="4"/>
      <c r="B396" s="3"/>
      <c r="C396" s="3"/>
    </row>
    <row r="397" customFormat="false" ht="15.75" hidden="false" customHeight="false" outlineLevel="0" collapsed="false">
      <c r="A397" s="4"/>
      <c r="B397" s="3"/>
      <c r="C397" s="3"/>
    </row>
    <row r="398" customFormat="false" ht="15.75" hidden="false" customHeight="false" outlineLevel="0" collapsed="false">
      <c r="A398" s="4"/>
      <c r="B398" s="3"/>
      <c r="C398" s="3"/>
    </row>
    <row r="399" customFormat="false" ht="15.75" hidden="false" customHeight="false" outlineLevel="0" collapsed="false">
      <c r="A399" s="4"/>
      <c r="B399" s="3"/>
      <c r="C399" s="3"/>
    </row>
    <row r="400" customFormat="false" ht="15.75" hidden="false" customHeight="false" outlineLevel="0" collapsed="false">
      <c r="A400" s="4"/>
      <c r="B400" s="3"/>
      <c r="C400" s="3"/>
    </row>
    <row r="401" customFormat="false" ht="15.75" hidden="false" customHeight="false" outlineLevel="0" collapsed="false">
      <c r="A401" s="4"/>
      <c r="B401" s="3"/>
      <c r="C401" s="3"/>
    </row>
    <row r="402" customFormat="false" ht="15.75" hidden="false" customHeight="false" outlineLevel="0" collapsed="false">
      <c r="A402" s="4"/>
      <c r="B402" s="3"/>
      <c r="C402" s="3"/>
    </row>
    <row r="403" customFormat="false" ht="15.75" hidden="false" customHeight="false" outlineLevel="0" collapsed="false">
      <c r="A403" s="4"/>
      <c r="B403" s="3"/>
      <c r="C403" s="3"/>
    </row>
    <row r="404" customFormat="false" ht="15.75" hidden="false" customHeight="false" outlineLevel="0" collapsed="false">
      <c r="A404" s="4"/>
      <c r="B404" s="3"/>
      <c r="C404" s="3"/>
    </row>
    <row r="405" customFormat="false" ht="15.75" hidden="false" customHeight="false" outlineLevel="0" collapsed="false">
      <c r="A405" s="4"/>
      <c r="B405" s="3"/>
      <c r="C405" s="3"/>
    </row>
    <row r="406" customFormat="false" ht="15.75" hidden="false" customHeight="false" outlineLevel="0" collapsed="false">
      <c r="A406" s="4"/>
      <c r="B406" s="3"/>
      <c r="C406" s="3"/>
    </row>
    <row r="407" customFormat="false" ht="15.75" hidden="false" customHeight="false" outlineLevel="0" collapsed="false">
      <c r="A407" s="4"/>
      <c r="B407" s="3"/>
      <c r="C407" s="3"/>
    </row>
    <row r="408" customFormat="false" ht="15.75" hidden="false" customHeight="false" outlineLevel="0" collapsed="false">
      <c r="A408" s="4"/>
      <c r="B408" s="3"/>
      <c r="C408" s="3"/>
    </row>
    <row r="409" customFormat="false" ht="15.75" hidden="false" customHeight="false" outlineLevel="0" collapsed="false">
      <c r="A409" s="4"/>
      <c r="B409" s="3"/>
      <c r="C409" s="3"/>
    </row>
    <row r="410" customFormat="false" ht="15.75" hidden="false" customHeight="false" outlineLevel="0" collapsed="false">
      <c r="A410" s="4"/>
      <c r="B410" s="3"/>
      <c r="C410" s="3"/>
    </row>
    <row r="411" customFormat="false" ht="15.75" hidden="false" customHeight="false" outlineLevel="0" collapsed="false">
      <c r="A411" s="4"/>
      <c r="B411" s="3"/>
      <c r="C411" s="3"/>
    </row>
    <row r="412" customFormat="false" ht="15.75" hidden="false" customHeight="false" outlineLevel="0" collapsed="false">
      <c r="A412" s="4"/>
      <c r="B412" s="3"/>
      <c r="C412" s="3"/>
    </row>
    <row r="413" customFormat="false" ht="15.75" hidden="false" customHeight="false" outlineLevel="0" collapsed="false">
      <c r="A413" s="4"/>
      <c r="B413" s="3"/>
      <c r="C413" s="3"/>
    </row>
    <row r="414" customFormat="false" ht="15.75" hidden="false" customHeight="false" outlineLevel="0" collapsed="false">
      <c r="A414" s="4"/>
      <c r="B414" s="3"/>
      <c r="C414" s="3"/>
    </row>
    <row r="415" customFormat="false" ht="15.75" hidden="false" customHeight="false" outlineLevel="0" collapsed="false">
      <c r="A415" s="4"/>
      <c r="B415" s="3"/>
      <c r="C415" s="3"/>
    </row>
    <row r="416" customFormat="false" ht="15.75" hidden="false" customHeight="false" outlineLevel="0" collapsed="false">
      <c r="A416" s="4"/>
      <c r="B416" s="3"/>
      <c r="C416" s="3"/>
    </row>
    <row r="417" customFormat="false" ht="15.75" hidden="false" customHeight="false" outlineLevel="0" collapsed="false">
      <c r="A417" s="4"/>
      <c r="B417" s="3"/>
      <c r="C417" s="3"/>
    </row>
    <row r="418" customFormat="false" ht="15.75" hidden="false" customHeight="false" outlineLevel="0" collapsed="false">
      <c r="A418" s="4"/>
      <c r="B418" s="3"/>
      <c r="C418" s="3"/>
    </row>
    <row r="419" customFormat="false" ht="15.75" hidden="false" customHeight="false" outlineLevel="0" collapsed="false">
      <c r="A419" s="4"/>
      <c r="B419" s="3"/>
      <c r="C419" s="3"/>
    </row>
    <row r="420" customFormat="false" ht="15.75" hidden="false" customHeight="false" outlineLevel="0" collapsed="false">
      <c r="A420" s="4"/>
      <c r="B420" s="3"/>
      <c r="C420" s="3"/>
    </row>
    <row r="421" customFormat="false" ht="15.75" hidden="false" customHeight="false" outlineLevel="0" collapsed="false">
      <c r="A421" s="4"/>
      <c r="B421" s="3"/>
      <c r="C421" s="3"/>
    </row>
    <row r="422" customFormat="false" ht="15.75" hidden="false" customHeight="false" outlineLevel="0" collapsed="false">
      <c r="A422" s="4"/>
      <c r="B422" s="3"/>
      <c r="C422" s="3"/>
    </row>
    <row r="423" customFormat="false" ht="15.75" hidden="false" customHeight="false" outlineLevel="0" collapsed="false">
      <c r="A423" s="4"/>
      <c r="B423" s="3"/>
      <c r="C423" s="3"/>
    </row>
    <row r="424" customFormat="false" ht="15.75" hidden="false" customHeight="false" outlineLevel="0" collapsed="false">
      <c r="A424" s="4"/>
      <c r="B424" s="3"/>
      <c r="C424" s="3"/>
    </row>
    <row r="425" customFormat="false" ht="15.75" hidden="false" customHeight="false" outlineLevel="0" collapsed="false">
      <c r="A425" s="4"/>
      <c r="B425" s="3"/>
      <c r="C425" s="3"/>
    </row>
    <row r="426" customFormat="false" ht="15.75" hidden="false" customHeight="false" outlineLevel="0" collapsed="false">
      <c r="A426" s="4"/>
      <c r="B426" s="3"/>
      <c r="C426" s="3"/>
    </row>
    <row r="427" customFormat="false" ht="15.75" hidden="false" customHeight="false" outlineLevel="0" collapsed="false">
      <c r="A427" s="4"/>
      <c r="B427" s="3"/>
      <c r="C427" s="3"/>
    </row>
    <row r="428" customFormat="false" ht="15.75" hidden="false" customHeight="false" outlineLevel="0" collapsed="false">
      <c r="A428" s="4"/>
      <c r="B428" s="3"/>
      <c r="C428" s="3"/>
    </row>
    <row r="429" customFormat="false" ht="15.75" hidden="false" customHeight="false" outlineLevel="0" collapsed="false">
      <c r="A429" s="4"/>
      <c r="B429" s="3"/>
      <c r="C429" s="3"/>
    </row>
    <row r="430" customFormat="false" ht="15.75" hidden="false" customHeight="false" outlineLevel="0" collapsed="false">
      <c r="A430" s="4"/>
      <c r="B430" s="3"/>
      <c r="C430" s="3"/>
    </row>
    <row r="431" customFormat="false" ht="15.75" hidden="false" customHeight="false" outlineLevel="0" collapsed="false">
      <c r="A431" s="4"/>
      <c r="B431" s="3"/>
      <c r="C431" s="3"/>
    </row>
    <row r="432" customFormat="false" ht="15.75" hidden="false" customHeight="false" outlineLevel="0" collapsed="false">
      <c r="A432" s="4"/>
      <c r="B432" s="3"/>
      <c r="C432" s="3"/>
    </row>
    <row r="433" customFormat="false" ht="15.75" hidden="false" customHeight="false" outlineLevel="0" collapsed="false">
      <c r="A433" s="4"/>
      <c r="B433" s="3"/>
      <c r="C433" s="3"/>
    </row>
    <row r="434" customFormat="false" ht="15.75" hidden="false" customHeight="false" outlineLevel="0" collapsed="false">
      <c r="A434" s="4"/>
      <c r="B434" s="3"/>
      <c r="C434" s="3"/>
    </row>
    <row r="435" customFormat="false" ht="15.75" hidden="false" customHeight="false" outlineLevel="0" collapsed="false">
      <c r="A435" s="4"/>
      <c r="B435" s="3"/>
      <c r="C435" s="3"/>
    </row>
    <row r="436" customFormat="false" ht="15.75" hidden="false" customHeight="false" outlineLevel="0" collapsed="false">
      <c r="A436" s="4"/>
      <c r="B436" s="3"/>
      <c r="C436" s="3"/>
    </row>
    <row r="437" customFormat="false" ht="15.75" hidden="false" customHeight="false" outlineLevel="0" collapsed="false">
      <c r="A437" s="4"/>
      <c r="B437" s="3"/>
      <c r="C437" s="3"/>
    </row>
    <row r="438" customFormat="false" ht="15.75" hidden="false" customHeight="false" outlineLevel="0" collapsed="false">
      <c r="A438" s="4"/>
      <c r="B438" s="3"/>
      <c r="C438" s="3"/>
    </row>
    <row r="439" customFormat="false" ht="15.75" hidden="false" customHeight="false" outlineLevel="0" collapsed="false">
      <c r="A439" s="4"/>
      <c r="B439" s="3"/>
      <c r="C439" s="3"/>
    </row>
    <row r="440" customFormat="false" ht="15.75" hidden="false" customHeight="false" outlineLevel="0" collapsed="false">
      <c r="A440" s="4"/>
      <c r="B440" s="3"/>
      <c r="C440" s="3"/>
    </row>
    <row r="441" customFormat="false" ht="15.75" hidden="false" customHeight="false" outlineLevel="0" collapsed="false">
      <c r="A441" s="4"/>
      <c r="B441" s="3"/>
      <c r="C441" s="3"/>
    </row>
    <row r="442" customFormat="false" ht="15.75" hidden="false" customHeight="false" outlineLevel="0" collapsed="false">
      <c r="A442" s="4"/>
      <c r="B442" s="3"/>
      <c r="C442" s="3"/>
    </row>
    <row r="443" customFormat="false" ht="15.75" hidden="false" customHeight="false" outlineLevel="0" collapsed="false">
      <c r="A443" s="4"/>
      <c r="B443" s="3"/>
      <c r="C443" s="3"/>
    </row>
    <row r="444" customFormat="false" ht="15.75" hidden="false" customHeight="false" outlineLevel="0" collapsed="false">
      <c r="A444" s="4"/>
      <c r="B444" s="3"/>
      <c r="C444" s="3"/>
    </row>
    <row r="445" customFormat="false" ht="15.75" hidden="false" customHeight="false" outlineLevel="0" collapsed="false">
      <c r="A445" s="4"/>
      <c r="B445" s="3"/>
      <c r="C445" s="3"/>
    </row>
    <row r="446" customFormat="false" ht="15.75" hidden="false" customHeight="false" outlineLevel="0" collapsed="false">
      <c r="A446" s="4"/>
      <c r="B446" s="3"/>
      <c r="C446" s="3"/>
    </row>
    <row r="447" customFormat="false" ht="15.75" hidden="false" customHeight="false" outlineLevel="0" collapsed="false">
      <c r="A447" s="4"/>
      <c r="B447" s="3"/>
      <c r="C447" s="3"/>
    </row>
    <row r="448" customFormat="false" ht="15.75" hidden="false" customHeight="false" outlineLevel="0" collapsed="false">
      <c r="A448" s="4"/>
      <c r="B448" s="3"/>
      <c r="C448" s="3"/>
    </row>
    <row r="449" customFormat="false" ht="15.75" hidden="false" customHeight="false" outlineLevel="0" collapsed="false">
      <c r="A449" s="4"/>
      <c r="B449" s="3"/>
      <c r="C449" s="3"/>
    </row>
    <row r="450" customFormat="false" ht="15.75" hidden="false" customHeight="false" outlineLevel="0" collapsed="false">
      <c r="A450" s="4"/>
      <c r="B450" s="3"/>
      <c r="C450" s="3"/>
    </row>
    <row r="451" customFormat="false" ht="15.75" hidden="false" customHeight="false" outlineLevel="0" collapsed="false">
      <c r="A451" s="4"/>
      <c r="B451" s="3"/>
      <c r="C451" s="3"/>
    </row>
    <row r="452" customFormat="false" ht="15.75" hidden="false" customHeight="false" outlineLevel="0" collapsed="false">
      <c r="A452" s="4"/>
      <c r="B452" s="3"/>
      <c r="C452" s="3"/>
    </row>
    <row r="453" customFormat="false" ht="15.75" hidden="false" customHeight="false" outlineLevel="0" collapsed="false">
      <c r="A453" s="4"/>
      <c r="B453" s="3"/>
      <c r="C453" s="3"/>
    </row>
    <row r="454" customFormat="false" ht="15.75" hidden="false" customHeight="false" outlineLevel="0" collapsed="false">
      <c r="A454" s="4"/>
      <c r="B454" s="3"/>
      <c r="C454" s="3"/>
    </row>
    <row r="455" customFormat="false" ht="15.75" hidden="false" customHeight="false" outlineLevel="0" collapsed="false">
      <c r="A455" s="4"/>
      <c r="B455" s="3"/>
      <c r="C455" s="3"/>
    </row>
    <row r="456" customFormat="false" ht="15.75" hidden="false" customHeight="false" outlineLevel="0" collapsed="false">
      <c r="A456" s="4"/>
      <c r="B456" s="3"/>
      <c r="C456" s="3"/>
    </row>
    <row r="457" customFormat="false" ht="15.75" hidden="false" customHeight="false" outlineLevel="0" collapsed="false">
      <c r="A457" s="4"/>
      <c r="B457" s="3"/>
      <c r="C457" s="3"/>
    </row>
    <row r="458" customFormat="false" ht="15.75" hidden="false" customHeight="false" outlineLevel="0" collapsed="false">
      <c r="A458" s="4"/>
      <c r="B458" s="3"/>
      <c r="C458" s="3"/>
    </row>
    <row r="459" customFormat="false" ht="15.75" hidden="false" customHeight="false" outlineLevel="0" collapsed="false">
      <c r="A459" s="4"/>
      <c r="B459" s="3"/>
      <c r="C459" s="3"/>
    </row>
    <row r="460" customFormat="false" ht="15.75" hidden="false" customHeight="false" outlineLevel="0" collapsed="false">
      <c r="A460" s="4"/>
      <c r="B460" s="3"/>
      <c r="C460" s="3"/>
    </row>
    <row r="461" customFormat="false" ht="15.75" hidden="false" customHeight="false" outlineLevel="0" collapsed="false">
      <c r="A461" s="4"/>
      <c r="B461" s="3"/>
      <c r="C461" s="3"/>
    </row>
    <row r="462" customFormat="false" ht="15.75" hidden="false" customHeight="false" outlineLevel="0" collapsed="false">
      <c r="A462" s="4"/>
      <c r="B462" s="3"/>
      <c r="C462" s="3"/>
    </row>
    <row r="463" customFormat="false" ht="15.75" hidden="false" customHeight="false" outlineLevel="0" collapsed="false">
      <c r="A463" s="4"/>
      <c r="B463" s="3"/>
      <c r="C463" s="3"/>
    </row>
    <row r="464" customFormat="false" ht="15.75" hidden="false" customHeight="false" outlineLevel="0" collapsed="false">
      <c r="A464" s="4"/>
      <c r="B464" s="3"/>
      <c r="C464" s="3"/>
    </row>
    <row r="465" customFormat="false" ht="15.75" hidden="false" customHeight="false" outlineLevel="0" collapsed="false">
      <c r="A465" s="4"/>
      <c r="B465" s="3"/>
      <c r="C465" s="3"/>
    </row>
    <row r="466" customFormat="false" ht="15.75" hidden="false" customHeight="false" outlineLevel="0" collapsed="false">
      <c r="A466" s="4"/>
      <c r="B466" s="3"/>
      <c r="C466" s="3"/>
    </row>
    <row r="467" customFormat="false" ht="15.75" hidden="false" customHeight="false" outlineLevel="0" collapsed="false">
      <c r="A467" s="4"/>
      <c r="B467" s="3"/>
      <c r="C467" s="3"/>
    </row>
    <row r="468" customFormat="false" ht="15.75" hidden="false" customHeight="false" outlineLevel="0" collapsed="false">
      <c r="A468" s="4"/>
      <c r="B468" s="3"/>
      <c r="C468" s="3"/>
    </row>
    <row r="469" customFormat="false" ht="15.75" hidden="false" customHeight="false" outlineLevel="0" collapsed="false">
      <c r="A469" s="4"/>
      <c r="B469" s="3"/>
      <c r="C469" s="3"/>
    </row>
    <row r="470" customFormat="false" ht="15.75" hidden="false" customHeight="false" outlineLevel="0" collapsed="false">
      <c r="A470" s="4"/>
      <c r="B470" s="3"/>
      <c r="C470" s="3"/>
    </row>
    <row r="471" customFormat="false" ht="15.75" hidden="false" customHeight="false" outlineLevel="0" collapsed="false">
      <c r="A471" s="4"/>
      <c r="B471" s="3"/>
      <c r="C471" s="3"/>
    </row>
    <row r="472" customFormat="false" ht="15.75" hidden="false" customHeight="false" outlineLevel="0" collapsed="false">
      <c r="A472" s="4"/>
      <c r="B472" s="3"/>
      <c r="C472" s="3"/>
    </row>
    <row r="473" customFormat="false" ht="15.75" hidden="false" customHeight="false" outlineLevel="0" collapsed="false">
      <c r="A473" s="4"/>
      <c r="B473" s="3"/>
      <c r="C473" s="3"/>
    </row>
    <row r="474" customFormat="false" ht="15.75" hidden="false" customHeight="false" outlineLevel="0" collapsed="false">
      <c r="A474" s="4"/>
      <c r="B474" s="3"/>
      <c r="C474" s="3"/>
    </row>
    <row r="475" customFormat="false" ht="15.75" hidden="false" customHeight="false" outlineLevel="0" collapsed="false">
      <c r="A475" s="4"/>
      <c r="B475" s="3"/>
      <c r="C475" s="3"/>
    </row>
    <row r="476" customFormat="false" ht="15.75" hidden="false" customHeight="false" outlineLevel="0" collapsed="false">
      <c r="A476" s="4"/>
      <c r="B476" s="3"/>
      <c r="C476" s="3"/>
    </row>
    <row r="477" customFormat="false" ht="15.75" hidden="false" customHeight="false" outlineLevel="0" collapsed="false">
      <c r="A477" s="4"/>
      <c r="B477" s="3"/>
      <c r="C477" s="3"/>
    </row>
    <row r="478" customFormat="false" ht="15.75" hidden="false" customHeight="false" outlineLevel="0" collapsed="false">
      <c r="A478" s="4"/>
      <c r="B478" s="3"/>
      <c r="C478" s="3"/>
    </row>
    <row r="479" customFormat="false" ht="15.75" hidden="false" customHeight="false" outlineLevel="0" collapsed="false">
      <c r="A479" s="4"/>
      <c r="B479" s="3"/>
      <c r="C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  <c r="C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  <c r="C488" s="3"/>
    </row>
    <row r="489" customFormat="false" ht="15.75" hidden="false" customHeight="false" outlineLevel="0" collapsed="false">
      <c r="A489" s="4"/>
      <c r="B489" s="3"/>
      <c r="C489" s="3"/>
    </row>
    <row r="490" customFormat="false" ht="15.75" hidden="false" customHeight="false" outlineLevel="0" collapsed="false">
      <c r="A490" s="4"/>
      <c r="B490" s="3"/>
      <c r="C490" s="3"/>
    </row>
    <row r="491" customFormat="false" ht="15.75" hidden="false" customHeight="false" outlineLevel="0" collapsed="false">
      <c r="A491" s="4"/>
      <c r="B491" s="3"/>
      <c r="C491" s="3"/>
    </row>
    <row r="492" customFormat="false" ht="15.75" hidden="false" customHeight="false" outlineLevel="0" collapsed="false">
      <c r="A492" s="4"/>
      <c r="B492" s="3"/>
      <c r="C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  <c r="B495" s="3"/>
      <c r="C495" s="3"/>
    </row>
    <row r="496" customFormat="false" ht="15.75" hidden="false" customHeight="false" outlineLevel="0" collapsed="false">
      <c r="A496" s="4"/>
      <c r="B496" s="3"/>
      <c r="C496" s="3"/>
    </row>
    <row r="497" customFormat="false" ht="15.75" hidden="false" customHeight="false" outlineLevel="0" collapsed="false">
      <c r="A497" s="4"/>
      <c r="B497" s="3"/>
      <c r="C497" s="3"/>
    </row>
    <row r="498" customFormat="false" ht="15.75" hidden="false" customHeight="false" outlineLevel="0" collapsed="false">
      <c r="A498" s="4"/>
      <c r="B498" s="3"/>
      <c r="C498" s="3"/>
    </row>
    <row r="499" customFormat="false" ht="15.75" hidden="false" customHeight="false" outlineLevel="0" collapsed="false">
      <c r="A499" s="4"/>
      <c r="B499" s="3"/>
      <c r="C499" s="3"/>
    </row>
    <row r="500" customFormat="false" ht="15.75" hidden="false" customHeight="false" outlineLevel="0" collapsed="false">
      <c r="A500" s="4"/>
      <c r="B500" s="3"/>
      <c r="C500" s="3"/>
    </row>
    <row r="501" customFormat="false" ht="15.75" hidden="false" customHeight="false" outlineLevel="0" collapsed="false">
      <c r="A501" s="4"/>
      <c r="B501" s="3"/>
      <c r="C501" s="3"/>
    </row>
    <row r="502" customFormat="false" ht="15.75" hidden="false" customHeight="false" outlineLevel="0" collapsed="false">
      <c r="A502" s="4"/>
      <c r="B502" s="3"/>
      <c r="C502" s="3"/>
    </row>
    <row r="503" customFormat="false" ht="15.75" hidden="false" customHeight="false" outlineLevel="0" collapsed="false">
      <c r="A503" s="4"/>
      <c r="B503" s="3"/>
      <c r="C503" s="3"/>
    </row>
    <row r="504" customFormat="false" ht="15.75" hidden="false" customHeight="false" outlineLevel="0" collapsed="false">
      <c r="A504" s="4"/>
      <c r="B504" s="3"/>
      <c r="C504" s="3"/>
    </row>
    <row r="505" customFormat="false" ht="15.75" hidden="false" customHeight="false" outlineLevel="0" collapsed="false">
      <c r="A505" s="4"/>
      <c r="B505" s="3"/>
      <c r="C505" s="3"/>
    </row>
    <row r="506" customFormat="false" ht="15.75" hidden="false" customHeight="false" outlineLevel="0" collapsed="false">
      <c r="A506" s="4"/>
      <c r="B506" s="3"/>
      <c r="C506" s="3"/>
    </row>
    <row r="507" customFormat="false" ht="15.75" hidden="false" customHeight="false" outlineLevel="0" collapsed="false">
      <c r="A507" s="4"/>
      <c r="B507" s="3"/>
      <c r="C507" s="3"/>
    </row>
    <row r="508" customFormat="false" ht="15.75" hidden="false" customHeight="false" outlineLevel="0" collapsed="false">
      <c r="A508" s="4"/>
      <c r="B508" s="3"/>
      <c r="C508" s="3"/>
    </row>
    <row r="509" customFormat="false" ht="15.75" hidden="false" customHeight="false" outlineLevel="0" collapsed="false">
      <c r="A509" s="4"/>
      <c r="B509" s="3"/>
      <c r="C509" s="3"/>
    </row>
    <row r="510" customFormat="false" ht="15.75" hidden="false" customHeight="false" outlineLevel="0" collapsed="false">
      <c r="A510" s="4"/>
      <c r="B510" s="3"/>
      <c r="C510" s="3"/>
    </row>
    <row r="511" customFormat="false" ht="15.75" hidden="false" customHeight="false" outlineLevel="0" collapsed="false">
      <c r="A511" s="4"/>
      <c r="B511" s="3"/>
      <c r="C511" s="3"/>
    </row>
    <row r="512" customFormat="false" ht="15.75" hidden="false" customHeight="false" outlineLevel="0" collapsed="false">
      <c r="A512" s="4"/>
      <c r="B512" s="3"/>
      <c r="C512" s="3"/>
    </row>
    <row r="513" customFormat="false" ht="15.75" hidden="false" customHeight="false" outlineLevel="0" collapsed="false">
      <c r="A513" s="4"/>
      <c r="B513" s="3"/>
      <c r="C513" s="3"/>
    </row>
    <row r="514" customFormat="false" ht="15.75" hidden="false" customHeight="false" outlineLevel="0" collapsed="false">
      <c r="A514" s="4"/>
      <c r="B514" s="3"/>
      <c r="C514" s="3"/>
    </row>
    <row r="515" customFormat="false" ht="15.75" hidden="false" customHeight="false" outlineLevel="0" collapsed="false">
      <c r="A515" s="4"/>
      <c r="B515" s="3"/>
      <c r="C515" s="3"/>
    </row>
    <row r="516" customFormat="false" ht="15.75" hidden="false" customHeight="false" outlineLevel="0" collapsed="false">
      <c r="A516" s="4"/>
      <c r="B516" s="3"/>
      <c r="C516" s="3"/>
    </row>
    <row r="517" customFormat="false" ht="15.75" hidden="false" customHeight="false" outlineLevel="0" collapsed="false">
      <c r="A517" s="4"/>
      <c r="B517" s="3"/>
      <c r="C517" s="3"/>
    </row>
    <row r="518" customFormat="false" ht="15.75" hidden="false" customHeight="false" outlineLevel="0" collapsed="false">
      <c r="A518" s="4"/>
      <c r="B518" s="3"/>
      <c r="C518" s="3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  <c r="B521" s="3"/>
      <c r="C521" s="3"/>
    </row>
    <row r="522" customFormat="false" ht="15.75" hidden="false" customHeight="false" outlineLevel="0" collapsed="false">
      <c r="A522" s="4"/>
      <c r="B522" s="3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  <c r="B530" s="3"/>
      <c r="C530" s="3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  <c r="C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B537" s="3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3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B550" s="3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4"/>
      <c r="B561" s="3"/>
      <c r="C561" s="3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  <c r="C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  <c r="C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  <c r="C586" s="3"/>
    </row>
    <row r="587" customFormat="false" ht="15.75" hidden="false" customHeight="false" outlineLevel="0" collapsed="false">
      <c r="A587" s="4"/>
      <c r="B587" s="3"/>
      <c r="C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  <c r="C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  <c r="C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  <c r="C597" s="3"/>
    </row>
    <row r="598" customFormat="false" ht="15.75" hidden="false" customHeight="false" outlineLevel="0" collapsed="false">
      <c r="A598" s="4"/>
      <c r="B598" s="3"/>
      <c r="C598" s="3"/>
    </row>
    <row r="599" customFormat="false" ht="15.75" hidden="false" customHeight="false" outlineLevel="0" collapsed="false">
      <c r="A599" s="4"/>
      <c r="B599" s="3"/>
      <c r="C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  <c r="C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A898" s="4"/>
      <c r="B898" s="3"/>
      <c r="C898" s="3"/>
    </row>
    <row r="899" customFormat="false" ht="15.75" hidden="false" customHeight="false" outlineLevel="0" collapsed="false">
      <c r="A899" s="4"/>
      <c r="B899" s="3"/>
      <c r="C899" s="3"/>
    </row>
    <row r="900" customFormat="false" ht="15.75" hidden="false" customHeight="false" outlineLevel="0" collapsed="false">
      <c r="A900" s="4"/>
      <c r="B900" s="3"/>
      <c r="C900" s="3"/>
    </row>
    <row r="901" customFormat="false" ht="15.75" hidden="false" customHeight="false" outlineLevel="0" collapsed="false">
      <c r="A901" s="4"/>
      <c r="B901" s="3"/>
      <c r="C901" s="3"/>
    </row>
    <row r="902" customFormat="false" ht="15.75" hidden="false" customHeight="false" outlineLevel="0" collapsed="false">
      <c r="A902" s="4"/>
      <c r="B902" s="3"/>
      <c r="C902" s="3"/>
    </row>
    <row r="903" customFormat="false" ht="15.75" hidden="false" customHeight="false" outlineLevel="0" collapsed="false">
      <c r="A903" s="4"/>
      <c r="B903" s="3"/>
      <c r="C903" s="3"/>
    </row>
    <row r="904" customFormat="false" ht="15.75" hidden="false" customHeight="false" outlineLevel="0" collapsed="false">
      <c r="A904" s="4"/>
      <c r="B904" s="3"/>
      <c r="C904" s="3"/>
    </row>
    <row r="905" customFormat="false" ht="15.75" hidden="false" customHeight="false" outlineLevel="0" collapsed="false">
      <c r="A905" s="4"/>
      <c r="B905" s="3"/>
      <c r="C905" s="3"/>
    </row>
    <row r="906" customFormat="false" ht="15.75" hidden="false" customHeight="false" outlineLevel="0" collapsed="false">
      <c r="A906" s="4"/>
      <c r="B906" s="3"/>
      <c r="C906" s="3"/>
    </row>
    <row r="907" customFormat="false" ht="15.75" hidden="false" customHeight="false" outlineLevel="0" collapsed="false">
      <c r="A907" s="4"/>
      <c r="B907" s="3"/>
      <c r="C907" s="3"/>
    </row>
    <row r="908" customFormat="false" ht="15.75" hidden="false" customHeight="false" outlineLevel="0" collapsed="false">
      <c r="A908" s="4"/>
      <c r="B908" s="3"/>
      <c r="C908" s="3"/>
    </row>
    <row r="909" customFormat="false" ht="15.75" hidden="false" customHeight="false" outlineLevel="0" collapsed="false">
      <c r="A909" s="4"/>
      <c r="B909" s="3"/>
      <c r="C909" s="3"/>
    </row>
    <row r="910" customFormat="false" ht="15.75" hidden="false" customHeight="false" outlineLevel="0" collapsed="false">
      <c r="A910" s="4"/>
      <c r="B910" s="3"/>
      <c r="C910" s="3"/>
    </row>
    <row r="911" customFormat="false" ht="15.75" hidden="false" customHeight="false" outlineLevel="0" collapsed="false">
      <c r="A911" s="4"/>
      <c r="B911" s="3"/>
      <c r="C911" s="3"/>
    </row>
    <row r="912" customFormat="false" ht="15.75" hidden="false" customHeight="false" outlineLevel="0" collapsed="false">
      <c r="A912" s="4"/>
      <c r="B912" s="3"/>
      <c r="C912" s="3"/>
    </row>
    <row r="913" customFormat="false" ht="15.75" hidden="false" customHeight="false" outlineLevel="0" collapsed="false">
      <c r="A913" s="4"/>
      <c r="B913" s="3"/>
      <c r="C913" s="3"/>
    </row>
    <row r="914" customFormat="false" ht="15.75" hidden="false" customHeight="false" outlineLevel="0" collapsed="false">
      <c r="A914" s="4"/>
      <c r="B914" s="3"/>
      <c r="C914" s="3"/>
    </row>
    <row r="915" customFormat="false" ht="15.75" hidden="false" customHeight="false" outlineLevel="0" collapsed="false">
      <c r="A915" s="4"/>
      <c r="B915" s="3"/>
      <c r="C915" s="3"/>
    </row>
    <row r="916" customFormat="false" ht="15.75" hidden="false" customHeight="false" outlineLevel="0" collapsed="false">
      <c r="A916" s="4"/>
      <c r="B916" s="3"/>
      <c r="C916" s="3"/>
    </row>
    <row r="917" customFormat="false" ht="15.75" hidden="false" customHeight="false" outlineLevel="0" collapsed="false">
      <c r="A917" s="4"/>
      <c r="B917" s="3"/>
      <c r="C917" s="3"/>
    </row>
    <row r="918" customFormat="false" ht="15.75" hidden="false" customHeight="false" outlineLevel="0" collapsed="false">
      <c r="A918" s="4"/>
      <c r="B918" s="3"/>
      <c r="C918" s="3"/>
    </row>
    <row r="919" customFormat="false" ht="15.75" hidden="false" customHeight="false" outlineLevel="0" collapsed="false">
      <c r="A919" s="4"/>
      <c r="B919" s="3"/>
      <c r="C919" s="3"/>
    </row>
    <row r="920" customFormat="false" ht="15.75" hidden="false" customHeight="false" outlineLevel="0" collapsed="false">
      <c r="A920" s="4"/>
      <c r="B920" s="3"/>
      <c r="C920" s="3"/>
    </row>
    <row r="921" customFormat="false" ht="15.75" hidden="false" customHeight="false" outlineLevel="0" collapsed="false">
      <c r="A921" s="4"/>
      <c r="B921" s="3"/>
      <c r="C921" s="3"/>
    </row>
    <row r="922" customFormat="false" ht="15.75" hidden="false" customHeight="false" outlineLevel="0" collapsed="false">
      <c r="A922" s="4"/>
      <c r="B922" s="3"/>
      <c r="C922" s="3"/>
    </row>
    <row r="923" customFormat="false" ht="15.75" hidden="false" customHeight="false" outlineLevel="0" collapsed="false">
      <c r="A923" s="4"/>
      <c r="B923" s="3"/>
      <c r="C923" s="3"/>
    </row>
    <row r="924" customFormat="false" ht="15.75" hidden="false" customHeight="false" outlineLevel="0" collapsed="false">
      <c r="A924" s="4"/>
      <c r="B924" s="3"/>
      <c r="C924" s="3"/>
    </row>
    <row r="925" customFormat="false" ht="15.75" hidden="false" customHeight="false" outlineLevel="0" collapsed="false">
      <c r="A925" s="4"/>
      <c r="B925" s="3"/>
      <c r="C925" s="3"/>
    </row>
    <row r="926" customFormat="false" ht="15.75" hidden="false" customHeight="false" outlineLevel="0" collapsed="false">
      <c r="A926" s="4"/>
      <c r="B926" s="3"/>
      <c r="C926" s="3"/>
    </row>
    <row r="927" customFormat="false" ht="15.75" hidden="false" customHeight="false" outlineLevel="0" collapsed="false">
      <c r="A927" s="4"/>
      <c r="B927" s="3"/>
      <c r="C927" s="3"/>
    </row>
    <row r="928" customFormat="false" ht="15.75" hidden="false" customHeight="false" outlineLevel="0" collapsed="false">
      <c r="A928" s="4"/>
      <c r="B928" s="3"/>
      <c r="C928" s="3"/>
    </row>
    <row r="929" customFormat="false" ht="15.75" hidden="false" customHeight="false" outlineLevel="0" collapsed="false">
      <c r="A929" s="4"/>
      <c r="B929" s="3"/>
      <c r="C929" s="3"/>
    </row>
    <row r="930" customFormat="false" ht="15.75" hidden="false" customHeight="false" outlineLevel="0" collapsed="false">
      <c r="A930" s="4"/>
      <c r="B930" s="3"/>
      <c r="C930" s="3"/>
    </row>
    <row r="931" customFormat="false" ht="15.75" hidden="false" customHeight="false" outlineLevel="0" collapsed="false">
      <c r="A931" s="4"/>
      <c r="B931" s="3"/>
      <c r="C931" s="3"/>
    </row>
    <row r="932" customFormat="false" ht="15.75" hidden="false" customHeight="false" outlineLevel="0" collapsed="false">
      <c r="A932" s="4"/>
      <c r="B932" s="3"/>
      <c r="C932" s="3"/>
    </row>
    <row r="933" customFormat="false" ht="15.75" hidden="false" customHeight="false" outlineLevel="0" collapsed="false">
      <c r="A933" s="4"/>
      <c r="B933" s="3"/>
      <c r="C933" s="3"/>
    </row>
    <row r="934" customFormat="false" ht="15.75" hidden="false" customHeight="false" outlineLevel="0" collapsed="false">
      <c r="B934" s="3"/>
      <c r="C934" s="3"/>
    </row>
    <row r="935" customFormat="false" ht="15.75" hidden="false" customHeight="false" outlineLevel="0" collapsed="false">
      <c r="B935" s="3"/>
      <c r="C935" s="3"/>
    </row>
    <row r="936" customFormat="false" ht="15.75" hidden="false" customHeight="false" outlineLevel="0" collapsed="false">
      <c r="B936" s="3"/>
      <c r="C936" s="3"/>
    </row>
    <row r="937" customFormat="false" ht="15.75" hidden="false" customHeight="false" outlineLevel="0" collapsed="false">
      <c r="B937" s="3"/>
      <c r="C937" s="3"/>
    </row>
    <row r="938" customFormat="false" ht="15.75" hidden="false" customHeight="false" outlineLevel="0" collapsed="false">
      <c r="B938" s="3"/>
      <c r="C938" s="3"/>
    </row>
    <row r="939" customFormat="false" ht="15.75" hidden="false" customHeight="false" outlineLevel="0" collapsed="false">
      <c r="B939" s="3"/>
      <c r="C939" s="3"/>
    </row>
    <row r="940" customFormat="false" ht="15.75" hidden="false" customHeight="false" outlineLevel="0" collapsed="false">
      <c r="B940" s="3"/>
      <c r="C940" s="3"/>
    </row>
    <row r="941" customFormat="false" ht="15.75" hidden="false" customHeight="false" outlineLevel="0" collapsed="false">
      <c r="B941" s="3"/>
      <c r="C941" s="3"/>
    </row>
    <row r="942" customFormat="false" ht="15.75" hidden="false" customHeight="false" outlineLevel="0" collapsed="false">
      <c r="B942" s="3"/>
      <c r="C942" s="3"/>
    </row>
    <row r="943" customFormat="false" ht="15.75" hidden="false" customHeight="false" outlineLevel="0" collapsed="false">
      <c r="B943" s="3"/>
      <c r="C943" s="3"/>
    </row>
    <row r="944" customFormat="false" ht="15.75" hidden="false" customHeight="false" outlineLevel="0" collapsed="false">
      <c r="B944" s="3"/>
      <c r="C944" s="3"/>
    </row>
    <row r="945" customFormat="false" ht="15.75" hidden="false" customHeight="false" outlineLevel="0" collapsed="false">
      <c r="B945" s="3"/>
      <c r="C945" s="3"/>
    </row>
    <row r="946" customFormat="false" ht="15.75" hidden="false" customHeight="false" outlineLevel="0" collapsed="false">
      <c r="B946" s="3"/>
      <c r="C946" s="3"/>
    </row>
    <row r="947" customFormat="false" ht="15.75" hidden="false" customHeight="false" outlineLevel="0" collapsed="false">
      <c r="B947" s="3"/>
      <c r="C947" s="3"/>
    </row>
    <row r="948" customFormat="false" ht="15.75" hidden="false" customHeight="false" outlineLevel="0" collapsed="false">
      <c r="B948" s="3"/>
      <c r="C948" s="3"/>
    </row>
    <row r="949" customFormat="false" ht="15.75" hidden="false" customHeight="false" outlineLevel="0" collapsed="false">
      <c r="B949" s="3"/>
      <c r="C949" s="3"/>
    </row>
    <row r="950" customFormat="false" ht="15.75" hidden="false" customHeight="false" outlineLevel="0" collapsed="false">
      <c r="B950" s="3"/>
      <c r="C950" s="3"/>
    </row>
    <row r="951" customFormat="false" ht="15.75" hidden="false" customHeight="false" outlineLevel="0" collapsed="false">
      <c r="B951" s="3"/>
      <c r="C951" s="3"/>
    </row>
    <row r="952" customFormat="false" ht="15.75" hidden="false" customHeight="false" outlineLevel="0" collapsed="false">
      <c r="B952" s="3"/>
      <c r="C952" s="3"/>
    </row>
    <row r="953" customFormat="false" ht="15.75" hidden="false" customHeight="false" outlineLevel="0" collapsed="false">
      <c r="B953" s="3"/>
      <c r="C953" s="3"/>
    </row>
    <row r="954" customFormat="false" ht="15.75" hidden="false" customHeight="false" outlineLevel="0" collapsed="false">
      <c r="B954" s="3"/>
      <c r="C954" s="3"/>
    </row>
    <row r="955" customFormat="false" ht="15.75" hidden="false" customHeight="false" outlineLevel="0" collapsed="false">
      <c r="B955" s="3"/>
      <c r="C955" s="3"/>
    </row>
    <row r="956" customFormat="false" ht="15.75" hidden="false" customHeight="false" outlineLevel="0" collapsed="false">
      <c r="B956" s="3"/>
      <c r="C956" s="3"/>
    </row>
    <row r="957" customFormat="false" ht="15.75" hidden="false" customHeight="false" outlineLevel="0" collapsed="false">
      <c r="B957" s="3"/>
      <c r="C957" s="3"/>
    </row>
    <row r="958" customFormat="false" ht="15.75" hidden="false" customHeight="false" outlineLevel="0" collapsed="false">
      <c r="B958" s="3"/>
      <c r="C958" s="3"/>
    </row>
    <row r="959" customFormat="false" ht="15.75" hidden="false" customHeight="false" outlineLevel="0" collapsed="false">
      <c r="B959" s="3"/>
      <c r="C959" s="3"/>
    </row>
    <row r="960" customFormat="false" ht="15.75" hidden="false" customHeight="false" outlineLevel="0" collapsed="false">
      <c r="B960" s="3"/>
      <c r="C960" s="3"/>
    </row>
    <row r="961" customFormat="false" ht="15.75" hidden="false" customHeight="false" outlineLevel="0" collapsed="false">
      <c r="B961" s="3"/>
      <c r="C961" s="3"/>
    </row>
    <row r="962" customFormat="false" ht="15.75" hidden="false" customHeight="false" outlineLevel="0" collapsed="false">
      <c r="B962" s="3"/>
      <c r="C962" s="3"/>
    </row>
    <row r="963" customFormat="false" ht="15.75" hidden="false" customHeight="false" outlineLevel="0" collapsed="false">
      <c r="B963" s="3"/>
      <c r="C963" s="3"/>
    </row>
    <row r="964" customFormat="false" ht="15.75" hidden="false" customHeight="false" outlineLevel="0" collapsed="false">
      <c r="B964" s="3"/>
      <c r="C964" s="3"/>
    </row>
    <row r="965" customFormat="false" ht="15.75" hidden="false" customHeight="false" outlineLevel="0" collapsed="false">
      <c r="B965" s="3"/>
      <c r="C965" s="3"/>
    </row>
    <row r="966" customFormat="false" ht="15.75" hidden="false" customHeight="false" outlineLevel="0" collapsed="false">
      <c r="B966" s="3"/>
      <c r="C966" s="3"/>
    </row>
    <row r="967" customFormat="false" ht="15.75" hidden="false" customHeight="false" outlineLevel="0" collapsed="false">
      <c r="B967" s="3"/>
      <c r="C967" s="3"/>
    </row>
    <row r="968" customFormat="false" ht="15.75" hidden="false" customHeight="false" outlineLevel="0" collapsed="false">
      <c r="B968" s="3"/>
      <c r="C968" s="3"/>
    </row>
    <row r="969" customFormat="false" ht="15.75" hidden="false" customHeight="false" outlineLevel="0" collapsed="false">
      <c r="B969" s="3"/>
      <c r="C969" s="3"/>
    </row>
    <row r="970" customFormat="false" ht="15.75" hidden="false" customHeight="false" outlineLevel="0" collapsed="false">
      <c r="B970" s="3"/>
      <c r="C970" s="3"/>
    </row>
    <row r="971" customFormat="false" ht="15.75" hidden="false" customHeight="false" outlineLevel="0" collapsed="false">
      <c r="B971" s="3"/>
      <c r="C971" s="3"/>
    </row>
    <row r="972" customFormat="false" ht="15.75" hidden="false" customHeight="false" outlineLevel="0" collapsed="false">
      <c r="B972" s="3"/>
      <c r="C972" s="3"/>
    </row>
    <row r="973" customFormat="false" ht="15.75" hidden="false" customHeight="false" outlineLevel="0" collapsed="false">
      <c r="B973" s="3"/>
      <c r="C973" s="3"/>
    </row>
    <row r="974" customFormat="false" ht="15.75" hidden="false" customHeight="false" outlineLevel="0" collapsed="false">
      <c r="B974" s="3"/>
      <c r="C974" s="3"/>
    </row>
    <row r="975" customFormat="false" ht="15.75" hidden="false" customHeight="false" outlineLevel="0" collapsed="false">
      <c r="B975" s="3"/>
      <c r="C975" s="3"/>
    </row>
    <row r="976" customFormat="false" ht="15.75" hidden="false" customHeight="false" outlineLevel="0" collapsed="false">
      <c r="B976" s="3"/>
      <c r="C976" s="3"/>
    </row>
    <row r="977" customFormat="false" ht="15.75" hidden="false" customHeight="false" outlineLevel="0" collapsed="false">
      <c r="B977" s="3"/>
      <c r="C977" s="3"/>
    </row>
    <row r="978" customFormat="false" ht="15.75" hidden="false" customHeight="false" outlineLevel="0" collapsed="false">
      <c r="B978" s="3"/>
      <c r="C978" s="3"/>
    </row>
    <row r="979" customFormat="false" ht="15.75" hidden="false" customHeight="false" outlineLevel="0" collapsed="false">
      <c r="B979" s="3"/>
      <c r="C979" s="3"/>
    </row>
    <row r="980" customFormat="false" ht="15.75" hidden="false" customHeight="false" outlineLevel="0" collapsed="false">
      <c r="B980" s="3"/>
      <c r="C980" s="3"/>
    </row>
    <row r="981" customFormat="false" ht="15.75" hidden="false" customHeight="false" outlineLevel="0" collapsed="false">
      <c r="B981" s="3"/>
      <c r="C981" s="3"/>
    </row>
    <row r="982" customFormat="false" ht="15.75" hidden="false" customHeight="false" outlineLevel="0" collapsed="false">
      <c r="B982" s="3"/>
      <c r="C982" s="3"/>
    </row>
    <row r="983" customFormat="false" ht="15.75" hidden="false" customHeight="false" outlineLevel="0" collapsed="false">
      <c r="B983" s="3"/>
      <c r="C983" s="3"/>
    </row>
    <row r="984" customFormat="false" ht="15.75" hidden="false" customHeight="false" outlineLevel="0" collapsed="false">
      <c r="B984" s="3"/>
      <c r="C984" s="3"/>
    </row>
    <row r="985" customFormat="false" ht="15.75" hidden="false" customHeight="false" outlineLevel="0" collapsed="false">
      <c r="B985" s="3"/>
      <c r="C985" s="3"/>
    </row>
    <row r="986" customFormat="false" ht="15.75" hidden="false" customHeight="false" outlineLevel="0" collapsed="false">
      <c r="B986" s="3"/>
      <c r="C986" s="3"/>
    </row>
    <row r="987" customFormat="false" ht="15.75" hidden="false" customHeight="false" outlineLevel="0" collapsed="false">
      <c r="B987" s="3"/>
      <c r="C987" s="3"/>
    </row>
    <row r="988" customFormat="false" ht="15.75" hidden="false" customHeight="false" outlineLevel="0" collapsed="false">
      <c r="B988" s="3"/>
      <c r="C988" s="3"/>
    </row>
    <row r="989" customFormat="false" ht="15.75" hidden="false" customHeight="false" outlineLevel="0" collapsed="false">
      <c r="B989" s="3"/>
      <c r="C989" s="3"/>
    </row>
    <row r="990" customFormat="false" ht="15.75" hidden="false" customHeight="false" outlineLevel="0" collapsed="false">
      <c r="B990" s="3"/>
      <c r="C990" s="3"/>
    </row>
    <row r="991" customFormat="false" ht="15.75" hidden="false" customHeight="false" outlineLevel="0" collapsed="false">
      <c r="B991" s="3"/>
      <c r="C991" s="3"/>
    </row>
    <row r="992" customFormat="false" ht="15.75" hidden="false" customHeight="false" outlineLevel="0" collapsed="false">
      <c r="B992" s="3"/>
      <c r="C992" s="3"/>
    </row>
    <row r="993" customFormat="false" ht="15.75" hidden="false" customHeight="false" outlineLevel="0" collapsed="false">
      <c r="B993" s="3"/>
      <c r="C993" s="3"/>
    </row>
    <row r="994" customFormat="false" ht="15.75" hidden="false" customHeight="false" outlineLevel="0" collapsed="false">
      <c r="B994" s="3"/>
      <c r="C994" s="3"/>
    </row>
    <row r="995" customFormat="false" ht="15.75" hidden="false" customHeight="false" outlineLevel="0" collapsed="false">
      <c r="B995" s="3"/>
      <c r="C995" s="3"/>
    </row>
    <row r="996" customFormat="false" ht="15.75" hidden="false" customHeight="false" outlineLevel="0" collapsed="false">
      <c r="B996" s="3"/>
      <c r="C996" s="3"/>
    </row>
    <row r="997" customFormat="false" ht="15.75" hidden="false" customHeight="false" outlineLevel="0" collapsed="false">
      <c r="B997" s="3"/>
      <c r="C997" s="3"/>
    </row>
    <row r="998" customFormat="false" ht="15.75" hidden="false" customHeight="false" outlineLevel="0" collapsed="false">
      <c r="B998" s="3"/>
      <c r="C998" s="3"/>
    </row>
    <row r="999" customFormat="false" ht="15.75" hidden="false" customHeight="false" outlineLevel="0" collapsed="false">
      <c r="B999" s="3"/>
      <c r="C999" s="3"/>
    </row>
    <row r="1000" customFormat="false" ht="15.75" hidden="false" customHeight="false" outlineLevel="0" collapsed="false">
      <c r="B1000" s="3"/>
      <c r="C1000" s="3"/>
    </row>
    <row r="1001" customFormat="false" ht="15.75" hidden="false" customHeight="false" outlineLevel="0" collapsed="false">
      <c r="B1001" s="3"/>
      <c r="C1001" s="3"/>
    </row>
    <row r="1002" customFormat="false" ht="15.75" hidden="false" customHeight="false" outlineLevel="0" collapsed="false">
      <c r="B1002" s="3"/>
      <c r="C1002" s="3"/>
    </row>
    <row r="1003" customFormat="false" ht="15.75" hidden="false" customHeight="false" outlineLevel="0" collapsed="false">
      <c r="B1003" s="3"/>
      <c r="C1003" s="3"/>
    </row>
    <row r="1004" customFormat="false" ht="15.75" hidden="false" customHeight="false" outlineLevel="0" collapsed="false">
      <c r="B1004" s="3"/>
      <c r="C1004" s="3"/>
    </row>
    <row r="1005" customFormat="false" ht="15.75" hidden="false" customHeight="false" outlineLevel="0" collapsed="false">
      <c r="B1005" s="3"/>
      <c r="C1005" s="3"/>
    </row>
    <row r="1006" customFormat="false" ht="15.75" hidden="false" customHeight="false" outlineLevel="0" collapsed="false">
      <c r="B1006" s="3"/>
      <c r="C1006" s="3"/>
    </row>
    <row r="1007" customFormat="false" ht="15.75" hidden="false" customHeight="false" outlineLevel="0" collapsed="false">
      <c r="B1007" s="3"/>
      <c r="C1007" s="3"/>
    </row>
    <row r="1008" customFormat="false" ht="15.75" hidden="false" customHeight="false" outlineLevel="0" collapsed="false">
      <c r="B1008" s="3"/>
      <c r="C1008" s="3"/>
    </row>
    <row r="1009" customFormat="false" ht="15.75" hidden="false" customHeight="false" outlineLevel="0" collapsed="false">
      <c r="B1009" s="3"/>
      <c r="C1009" s="3"/>
    </row>
    <row r="1010" customFormat="false" ht="15.75" hidden="false" customHeight="false" outlineLevel="0" collapsed="false">
      <c r="B1010" s="3"/>
      <c r="C1010" s="3"/>
    </row>
    <row r="1011" customFormat="false" ht="15.75" hidden="false" customHeight="false" outlineLevel="0" collapsed="false">
      <c r="B1011" s="3"/>
      <c r="C1011" s="3"/>
    </row>
    <row r="1012" customFormat="false" ht="15.75" hidden="false" customHeight="false" outlineLevel="0" collapsed="false">
      <c r="B1012" s="3"/>
      <c r="C1012" s="3"/>
    </row>
    <row r="1013" customFormat="false" ht="15.75" hidden="false" customHeight="false" outlineLevel="0" collapsed="false">
      <c r="B1013" s="3"/>
      <c r="C1013" s="3"/>
    </row>
    <row r="1014" customFormat="false" ht="15.75" hidden="false" customHeight="false" outlineLevel="0" collapsed="false">
      <c r="B1014" s="3"/>
      <c r="C1014" s="3"/>
    </row>
    <row r="1015" customFormat="false" ht="15.75" hidden="false" customHeight="false" outlineLevel="0" collapsed="false">
      <c r="B1015" s="3"/>
      <c r="C1015" s="3"/>
    </row>
    <row r="1016" customFormat="false" ht="15.75" hidden="false" customHeight="false" outlineLevel="0" collapsed="false">
      <c r="B1016" s="3"/>
      <c r="C1016" s="3"/>
    </row>
    <row r="1017" customFormat="false" ht="15.75" hidden="false" customHeight="false" outlineLevel="0" collapsed="false">
      <c r="B1017" s="3"/>
      <c r="C1017" s="3"/>
    </row>
    <row r="1018" customFormat="false" ht="15.75" hidden="false" customHeight="false" outlineLevel="0" collapsed="false">
      <c r="B1018" s="3"/>
      <c r="C1018" s="3"/>
    </row>
    <row r="1019" customFormat="false" ht="15.75" hidden="false" customHeight="false" outlineLevel="0" collapsed="false">
      <c r="B1019" s="3"/>
      <c r="C1019" s="3"/>
    </row>
    <row r="1020" customFormat="false" ht="15.75" hidden="false" customHeight="false" outlineLevel="0" collapsed="false">
      <c r="B1020" s="3"/>
      <c r="C1020" s="3"/>
    </row>
    <row r="1021" customFormat="false" ht="15.75" hidden="false" customHeight="false" outlineLevel="0" collapsed="false">
      <c r="B1021" s="3"/>
      <c r="C1021" s="3"/>
    </row>
    <row r="1022" customFormat="false" ht="15.75" hidden="false" customHeight="false" outlineLevel="0" collapsed="false">
      <c r="B1022" s="3"/>
      <c r="C1022" s="3"/>
    </row>
    <row r="1023" customFormat="false" ht="15.75" hidden="false" customHeight="false" outlineLevel="0" collapsed="false">
      <c r="B1023" s="3"/>
      <c r="C1023" s="3"/>
    </row>
    <row r="1024" customFormat="false" ht="15.75" hidden="false" customHeight="false" outlineLevel="0" collapsed="false">
      <c r="B1024" s="3"/>
      <c r="C1024" s="3"/>
    </row>
    <row r="1025" customFormat="false" ht="15.75" hidden="false" customHeight="false" outlineLevel="0" collapsed="false">
      <c r="B1025" s="3"/>
      <c r="C1025" s="3"/>
    </row>
    <row r="1026" customFormat="false" ht="15.75" hidden="false" customHeight="false" outlineLevel="0" collapsed="false">
      <c r="B1026" s="3"/>
      <c r="C1026" s="3"/>
    </row>
    <row r="1027" customFormat="false" ht="15.75" hidden="false" customHeight="false" outlineLevel="0" collapsed="false">
      <c r="B1027" s="3"/>
      <c r="C1027" s="3"/>
    </row>
  </sheetData>
  <conditionalFormatting sqref="A59:A60 C59:C94 B72:B73 A75:A91">
    <cfRule type="expression" priority="2" aboveAverage="0" equalAverage="0" bottom="0" percent="0" rank="0" text="" dxfId="0">
      <formula>B59="YES"</formula>
    </cfRule>
  </conditionalFormatting>
  <conditionalFormatting sqref="C111">
    <cfRule type="expression" priority="3" aboveAverage="0" equalAverage="0" bottom="0" percent="0" rank="0" text="" dxfId="1">
      <formula>D111="YES"</formula>
    </cfRule>
  </conditionalFormatting>
  <conditionalFormatting sqref="A2:A168 A171:A933">
    <cfRule type="expression" priority="4" aboveAverage="0" equalAverage="0" bottom="0" percent="0" rank="0" text="" dxfId="2">
      <formula>COUNTIF(B2:C2,A2)=0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3.63"/>
    <col collapsed="false" customWidth="true" hidden="false" outlineLevel="0" max="2" min="2" style="0" width="7"/>
    <col collapsed="false" customWidth="true" hidden="false" outlineLevel="0" max="3" min="3" style="0" width="117.5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1420</v>
      </c>
      <c r="B2" s="3" t="str">
        <f aca="false">IF(COUNTIF(Final_CB_B2_V5!$B$2:$B$491,A2)&gt;=1,"YES","NO")</f>
        <v>YES</v>
      </c>
      <c r="C2" s="3" t="s">
        <v>1421</v>
      </c>
      <c r="D2" s="3" t="str">
        <f aca="false">IF(COUNTIF(Final_CB_B2_V5!$C$2:$C$491,C2)&gt;=1,"YES","NO")</f>
        <v>YES</v>
      </c>
      <c r="F2" s="4" t="str">
        <f aca="false">IFERROR(__xludf.dummyfunction("filter(A2:A700, MATCH(A2:A700, C2:C700, FALSE))"),"remote::repositories::(e.g.,::pip::maven::central)")</f>
        <v>remote::repositories::(e.g.,::pip::maven::central)</v>
      </c>
      <c r="G2" s="4" t="str">
        <f aca="false">IFERROR(__xludf.dummyfunction("filter(A2:A700,iserror(MATCH(A2:A700, C2:C700, FALSE)))"),"")</f>
        <v/>
      </c>
      <c r="H2" s="4" t="str">
        <f aca="false">IFERROR(__xludf.dummyfunction("filter(C2:C700,ISERROR(MATCH(C2:C700, A2:A700, FALSE)))"),"mixed")</f>
        <v>mixed</v>
      </c>
    </row>
    <row r="3" customFormat="false" ht="15.75" hidden="false" customHeight="false" outlineLevel="0" collapsed="false">
      <c r="B3" s="3" t="str">
        <f aca="false">IF(COUNTIF(Final_CB_B2_V5!$B$2:$B$491,A3)&gt;=1,"YES","NO")</f>
        <v>NO</v>
      </c>
      <c r="C3" s="3" t="s">
        <v>1422</v>
      </c>
      <c r="D3" s="3" t="str">
        <f aca="false">IF(COUNTIF(Final_CB_B2_V5!$C$2:$C$491,C3)&gt;=1,"YES","NO")</f>
        <v>YES</v>
      </c>
      <c r="G3" s="4"/>
      <c r="H3" s="4" t="str">
        <f aca="false">IFERROR(__xludf.dummyfunction("""COMPUTED_VALUE"""),"na")</f>
        <v>na</v>
      </c>
    </row>
    <row r="4" customFormat="false" ht="15.75" hidden="false" customHeight="false" outlineLevel="0" collapsed="false">
      <c r="B4" s="3" t="str">
        <f aca="false">IF(COUNTIF(Final_CB_B2_V5!$B$2:$B$491,A4)&gt;=1,"YES","NO")</f>
        <v>NO</v>
      </c>
      <c r="C4" s="3" t="s">
        <v>1420</v>
      </c>
      <c r="D4" s="3" t="str">
        <f aca="false">IF(COUNTIF(Final_CB_B2_V5!$C$2:$C$491,C4)&gt;=1,"YES","NO")</f>
        <v>YES</v>
      </c>
      <c r="G4" s="4"/>
      <c r="H4" s="4"/>
    </row>
    <row r="5" customFormat="false" ht="15.75" hidden="false" customHeight="false" outlineLevel="0" collapsed="false">
      <c r="B5" s="3" t="str">
        <f aca="false">IF(COUNTIF(Final_CB_B2_V5!$B$2:$B$491,A5)&gt;=1,"YES","NO")</f>
        <v>NO</v>
      </c>
      <c r="D5" s="3" t="str">
        <f aca="false">IF(COUNTIF(Final_CB_B2_V5!$C$2:$C$491,C5)&gt;=1,"YES","NO")</f>
        <v>NO</v>
      </c>
      <c r="G5" s="4"/>
      <c r="H5" s="4"/>
    </row>
    <row r="6" customFormat="false" ht="15.75" hidden="false" customHeight="false" outlineLevel="0" collapsed="false">
      <c r="B6" s="3" t="str">
        <f aca="false">IF(COUNTIF(Final_CB_B2_V5!$B$2:$B$491,A6)&gt;=1,"YES","NO")</f>
        <v>NO</v>
      </c>
      <c r="D6" s="3" t="str">
        <f aca="false">IF(COUNTIF(Final_CB_B2_V5!$C$2:$C$491,C6)&gt;=1,"YES","NO")</f>
        <v>NO</v>
      </c>
      <c r="G6" s="4"/>
      <c r="H6" s="4"/>
    </row>
    <row r="7" customFormat="false" ht="15.75" hidden="false" customHeight="false" outlineLevel="0" collapsed="false">
      <c r="B7" s="3" t="str">
        <f aca="false">IF(COUNTIF(Final_CB_B2_V5!$B$2:$B$491,A7)&gt;=1,"YES","NO")</f>
        <v>NO</v>
      </c>
      <c r="D7" s="3" t="str">
        <f aca="false">IF(COUNTIF(Final_CB_B2_V5!$C$2:$C$491,C7)&gt;=1,"YES","NO")</f>
        <v>NO</v>
      </c>
      <c r="G7" s="4"/>
      <c r="H7" s="4"/>
    </row>
    <row r="8" customFormat="false" ht="15.75" hidden="false" customHeight="false" outlineLevel="0" collapsed="false">
      <c r="B8" s="3" t="str">
        <f aca="false">IF(COUNTIF(Final_CB_B2_V5!$B$2:$B$491,A8)&gt;=1,"YES","NO")</f>
        <v>NO</v>
      </c>
      <c r="D8" s="3" t="str">
        <f aca="false">IF(COUNTIF(Final_CB_B2_V5!$C$2:$C$491,C8)&gt;=1,"YES","NO")</f>
        <v>NO</v>
      </c>
      <c r="G8" s="4"/>
      <c r="H8" s="4"/>
    </row>
    <row r="9" customFormat="false" ht="15.75" hidden="false" customHeight="false" outlineLevel="0" collapsed="false">
      <c r="B9" s="3" t="str">
        <f aca="false">IF(COUNTIF(Final_CB_B2_V5!$B$2:$B$491,A9)&gt;=1,"YES","NO")</f>
        <v>NO</v>
      </c>
      <c r="D9" s="3" t="str">
        <f aca="false">IF(COUNTIF(Final_CB_B2_V5!$C$2:$C$491,C9)&gt;=1,"YES","NO")</f>
        <v>NO</v>
      </c>
      <c r="G9" s="4"/>
      <c r="H9" s="4"/>
    </row>
    <row r="10" customFormat="false" ht="15.75" hidden="false" customHeight="false" outlineLevel="0" collapsed="false">
      <c r="B10" s="3" t="str">
        <f aca="false">IF(COUNTIF(Final_CB_B2_V5!$B$2:$B$491,A10)&gt;=1,"YES","NO")</f>
        <v>NO</v>
      </c>
      <c r="D10" s="3" t="str">
        <f aca="false">IF(COUNTIF(Final_CB_B2_V5!$C$2:$C$491,C10)&gt;=1,"YES","NO")</f>
        <v>NO</v>
      </c>
      <c r="G10" s="4"/>
      <c r="H10" s="4"/>
    </row>
    <row r="11" customFormat="false" ht="15.75" hidden="false" customHeight="false" outlineLevel="0" collapsed="false">
      <c r="B11" s="3" t="str">
        <f aca="false">IF(COUNTIF(Final_CB_B2_V5!$B$2:$B$491,A11)&gt;=1,"YES","NO")</f>
        <v>NO</v>
      </c>
      <c r="D11" s="3" t="str">
        <f aca="false">IF(COUNTIF(Final_CB_B2_V5!$C$2:$C$491,C11)&gt;=1,"YES","NO")</f>
        <v>NO</v>
      </c>
      <c r="G11" s="4"/>
      <c r="H11" s="4"/>
    </row>
    <row r="12" customFormat="false" ht="15.75" hidden="false" customHeight="false" outlineLevel="0" collapsed="false">
      <c r="B12" s="3" t="str">
        <f aca="false">IF(COUNTIF(Final_CB_B2_V5!$B$2:$B$491,A12)&gt;=1,"YES","NO")</f>
        <v>NO</v>
      </c>
      <c r="D12" s="3" t="str">
        <f aca="false">IF(COUNTIF(Final_CB_B2_V5!$C$2:$C$491,C12)&gt;=1,"YES","NO")</f>
        <v>NO</v>
      </c>
      <c r="G12" s="4"/>
      <c r="H12" s="4"/>
    </row>
    <row r="13" customFormat="false" ht="15.75" hidden="false" customHeight="false" outlineLevel="0" collapsed="false">
      <c r="B13" s="3" t="str">
        <f aca="false">IF(COUNTIF(Final_CB_B2_V5!$B$2:$B$491,A13)&gt;=1,"YES","NO")</f>
        <v>NO</v>
      </c>
      <c r="D13" s="3" t="str">
        <f aca="false">IF(COUNTIF(Final_CB_B2_V5!$C$2:$C$491,C13)&gt;=1,"YES","NO")</f>
        <v>NO</v>
      </c>
      <c r="G13" s="4"/>
      <c r="H13" s="4"/>
    </row>
    <row r="14" customFormat="false" ht="15.75" hidden="false" customHeight="false" outlineLevel="0" collapsed="false">
      <c r="B14" s="3" t="str">
        <f aca="false">IF(COUNTIF(Final_CB_B2_V5!$B$2:$B$491,A14)&gt;=1,"YES","NO")</f>
        <v>NO</v>
      </c>
      <c r="D14" s="3" t="str">
        <f aca="false">IF(COUNTIF(Final_CB_B2_V5!$C$2:$C$491,C14)&gt;=1,"YES","NO")</f>
        <v>NO</v>
      </c>
      <c r="G14" s="4"/>
      <c r="H14" s="4"/>
    </row>
    <row r="15" customFormat="false" ht="15.75" hidden="false" customHeight="false" outlineLevel="0" collapsed="false">
      <c r="B15" s="3" t="str">
        <f aca="false">IF(COUNTIF(Final_CB_B2_V5!$B$2:$B$491,A15)&gt;=1,"YES","NO")</f>
        <v>NO</v>
      </c>
      <c r="D15" s="3" t="str">
        <f aca="false">IF(COUNTIF(Final_CB_B2_V5!$C$2:$C$491,C15)&gt;=1,"YES","NO")</f>
        <v>NO</v>
      </c>
      <c r="G15" s="4"/>
      <c r="H15" s="4"/>
    </row>
    <row r="16" customFormat="false" ht="15.75" hidden="false" customHeight="false" outlineLevel="0" collapsed="false">
      <c r="B16" s="3" t="str">
        <f aca="false">IF(COUNTIF(Final_CB_B2_V5!$B$2:$B$491,A16)&gt;=1,"YES","NO")</f>
        <v>NO</v>
      </c>
      <c r="D16" s="3" t="str">
        <f aca="false">IF(COUNTIF(Final_CB_B2_V5!$C$2:$C$491,C16)&gt;=1,"YES","NO")</f>
        <v>NO</v>
      </c>
      <c r="G16" s="4"/>
      <c r="H16" s="4"/>
    </row>
    <row r="17" customFormat="false" ht="15.75" hidden="false" customHeight="false" outlineLevel="0" collapsed="false">
      <c r="B17" s="3" t="str">
        <f aca="false">IF(COUNTIF(Final_CB_B2_V5!$B$2:$B$491,A17)&gt;=1,"YES","NO")</f>
        <v>NO</v>
      </c>
      <c r="D17" s="3" t="str">
        <f aca="false">IF(COUNTIF(Final_CB_B2_V5!$C$2:$C$491,C17)&gt;=1,"YES","NO")</f>
        <v>NO</v>
      </c>
      <c r="G17" s="4"/>
      <c r="H17" s="4"/>
    </row>
    <row r="18" customFormat="false" ht="15.75" hidden="false" customHeight="false" outlineLevel="0" collapsed="false">
      <c r="B18" s="3" t="str">
        <f aca="false">IF(COUNTIF(Final_CB_B2_V5!$B$2:$B$491,A18)&gt;=1,"YES","NO")</f>
        <v>NO</v>
      </c>
      <c r="D18" s="3" t="str">
        <f aca="false">IF(COUNTIF(Final_CB_B2_V5!$C$2:$C$491,C18)&gt;=1,"YES","NO")</f>
        <v>NO</v>
      </c>
      <c r="G18" s="4"/>
      <c r="H18" s="4"/>
    </row>
    <row r="19" customFormat="false" ht="15.75" hidden="false" customHeight="false" outlineLevel="0" collapsed="false">
      <c r="B19" s="3" t="str">
        <f aca="false">IF(COUNTIF(Final_CB_B2_V5!$B$2:$B$491,A19)&gt;=1,"YES","NO")</f>
        <v>NO</v>
      </c>
      <c r="D19" s="3" t="str">
        <f aca="false">IF(COUNTIF(Final_CB_B2_V5!$C$2:$C$491,C19)&gt;=1,"YES","NO")</f>
        <v>NO</v>
      </c>
      <c r="G19" s="4"/>
      <c r="H19" s="4"/>
    </row>
    <row r="20" customFormat="false" ht="15.75" hidden="false" customHeight="false" outlineLevel="0" collapsed="false">
      <c r="B20" s="3" t="str">
        <f aca="false">IF(COUNTIF(Final_CB_B2_V5!$B$2:$B$491,A20)&gt;=1,"YES","NO")</f>
        <v>NO</v>
      </c>
      <c r="D20" s="3" t="str">
        <f aca="false">IF(COUNTIF(Final_CB_B2_V5!$C$2:$C$491,C20)&gt;=1,"YES","NO")</f>
        <v>NO</v>
      </c>
      <c r="G20" s="4"/>
      <c r="H20" s="4"/>
    </row>
    <row r="21" customFormat="false" ht="15.75" hidden="false" customHeight="false" outlineLevel="0" collapsed="false">
      <c r="B21" s="3" t="str">
        <f aca="false">IF(COUNTIF(Final_CB_B2_V5!$B$2:$B$491,A21)&gt;=1,"YES","NO")</f>
        <v>NO</v>
      </c>
      <c r="D21" s="3" t="str">
        <f aca="false">IF(COUNTIF(Final_CB_B2_V5!$C$2:$C$491,C21)&gt;=1,"YES","NO")</f>
        <v>NO</v>
      </c>
      <c r="G21" s="4"/>
      <c r="H21" s="4"/>
    </row>
    <row r="22" customFormat="false" ht="15.75" hidden="false" customHeight="false" outlineLevel="0" collapsed="false">
      <c r="B22" s="3" t="str">
        <f aca="false">IF(COUNTIF(Final_CB_B2_V5!$B$2:$B$491,A22)&gt;=1,"YES","NO")</f>
        <v>NO</v>
      </c>
      <c r="D22" s="3" t="str">
        <f aca="false">IF(COUNTIF(Final_CB_B2_V5!$C$2:$C$491,C22)&gt;=1,"YES","NO")</f>
        <v>NO</v>
      </c>
      <c r="G22" s="4"/>
      <c r="H22" s="4"/>
    </row>
    <row r="23" customFormat="false" ht="15.75" hidden="false" customHeight="false" outlineLevel="0" collapsed="false">
      <c r="B23" s="3" t="str">
        <f aca="false">IF(COUNTIF(Final_CB_B2_V5!$B$2:$B$491,A23)&gt;=1,"YES","NO")</f>
        <v>NO</v>
      </c>
      <c r="D23" s="3" t="str">
        <f aca="false">IF(COUNTIF(Final_CB_B2_V5!$C$2:$C$491,C23)&gt;=1,"YES","NO")</f>
        <v>NO</v>
      </c>
      <c r="G23" s="4"/>
      <c r="H23" s="4"/>
    </row>
    <row r="24" customFormat="false" ht="15.75" hidden="false" customHeight="false" outlineLevel="0" collapsed="false">
      <c r="B24" s="3" t="str">
        <f aca="false">IF(COUNTIF(Final_CB_B2_V5!$B$2:$B$491,A24)&gt;=1,"YES","NO")</f>
        <v>NO</v>
      </c>
      <c r="D24" s="3" t="str">
        <f aca="false">IF(COUNTIF(Final_CB_B2_V5!$C$2:$C$491,C24)&gt;=1,"YES","NO")</f>
        <v>NO</v>
      </c>
      <c r="G24" s="4"/>
      <c r="H24" s="4"/>
    </row>
    <row r="25" customFormat="false" ht="15.75" hidden="false" customHeight="false" outlineLevel="0" collapsed="false">
      <c r="B25" s="3" t="str">
        <f aca="false">IF(COUNTIF(Final_CB_B2_V5!$B$2:$B$491,A25)&gt;=1,"YES","NO")</f>
        <v>NO</v>
      </c>
      <c r="D25" s="3" t="str">
        <f aca="false">IF(COUNTIF(Final_CB_B2_V5!$C$2:$C$491,C25)&gt;=1,"YES","NO")</f>
        <v>NO</v>
      </c>
      <c r="G25" s="4"/>
      <c r="H25" s="4"/>
    </row>
    <row r="26" customFormat="false" ht="15.75" hidden="false" customHeight="false" outlineLevel="0" collapsed="false">
      <c r="B26" s="3" t="str">
        <f aca="false">IF(COUNTIF(Final_CB_B2_V5!$B$2:$B$491,A26)&gt;=1,"YES","NO")</f>
        <v>NO</v>
      </c>
      <c r="D26" s="3" t="str">
        <f aca="false">IF(COUNTIF(Final_CB_B2_V5!$C$2:$C$491,C26)&gt;=1,"YES","NO")</f>
        <v>NO</v>
      </c>
      <c r="G26" s="4"/>
      <c r="H26" s="4"/>
    </row>
    <row r="27" customFormat="false" ht="15.75" hidden="false" customHeight="false" outlineLevel="0" collapsed="false">
      <c r="B27" s="3" t="str">
        <f aca="false">IF(COUNTIF(Final_CB_B2_V5!$B$2:$B$491,A27)&gt;=1,"YES","NO")</f>
        <v>NO</v>
      </c>
      <c r="D27" s="3" t="str">
        <f aca="false">IF(COUNTIF(Final_CB_B2_V5!$C$2:$C$491,C27)&gt;=1,"YES","NO")</f>
        <v>NO</v>
      </c>
      <c r="G27" s="4"/>
      <c r="H27" s="4"/>
    </row>
    <row r="28" customFormat="false" ht="15.75" hidden="false" customHeight="false" outlineLevel="0" collapsed="false">
      <c r="B28" s="3" t="str">
        <f aca="false">IF(COUNTIF(Final_CB_B2_V5!$B$2:$B$491,A28)&gt;=1,"YES","NO")</f>
        <v>NO</v>
      </c>
      <c r="D28" s="3" t="str">
        <f aca="false">IF(COUNTIF(Final_CB_B2_V5!$C$2:$C$491,C28)&gt;=1,"YES","NO")</f>
        <v>NO</v>
      </c>
      <c r="G28" s="4"/>
      <c r="H28" s="4"/>
    </row>
    <row r="29" customFormat="false" ht="15.75" hidden="false" customHeight="false" outlineLevel="0" collapsed="false">
      <c r="B29" s="3" t="str">
        <f aca="false">IF(COUNTIF(Final_CB_B2_V5!$B$2:$B$491,A29)&gt;=1,"YES","NO")</f>
        <v>NO</v>
      </c>
      <c r="D29" s="3" t="str">
        <f aca="false">IF(COUNTIF(Final_CB_B2_V5!$C$2:$C$491,C29)&gt;=1,"YES","NO")</f>
        <v>NO</v>
      </c>
      <c r="G29" s="4"/>
      <c r="H29" s="4"/>
    </row>
    <row r="30" customFormat="false" ht="15.75" hidden="false" customHeight="false" outlineLevel="0" collapsed="false">
      <c r="B30" s="3" t="str">
        <f aca="false">IF(COUNTIF(Final_CB_B2_V5!$B$2:$B$491,A30)&gt;=1,"YES","NO")</f>
        <v>NO</v>
      </c>
      <c r="D30" s="3" t="str">
        <f aca="false">IF(COUNTIF(Final_CB_B2_V5!$C$2:$C$491,C30)&gt;=1,"YES","NO")</f>
        <v>NO</v>
      </c>
      <c r="G30" s="4"/>
      <c r="H30" s="4"/>
    </row>
    <row r="31" customFormat="false" ht="15.75" hidden="false" customHeight="false" outlineLevel="0" collapsed="false">
      <c r="B31" s="3" t="str">
        <f aca="false">IF(COUNTIF(Final_CB_B2_V5!$B$2:$B$491,A31)&gt;=1,"YES","NO")</f>
        <v>NO</v>
      </c>
      <c r="D31" s="3" t="str">
        <f aca="false">IF(COUNTIF(Final_CB_B2_V5!$C$2:$C$491,C31)&gt;=1,"YES","NO")</f>
        <v>NO</v>
      </c>
      <c r="G31" s="4"/>
      <c r="H31" s="4"/>
    </row>
    <row r="32" customFormat="false" ht="15.75" hidden="false" customHeight="false" outlineLevel="0" collapsed="false">
      <c r="B32" s="3" t="str">
        <f aca="false">IF(COUNTIF(Final_CB_B2_V5!$B$2:$B$491,A32)&gt;=1,"YES","NO")</f>
        <v>NO</v>
      </c>
      <c r="D32" s="3" t="str">
        <f aca="false">IF(COUNTIF(Final_CB_B2_V5!$C$2:$C$491,C32)&gt;=1,"YES","NO")</f>
        <v>NO</v>
      </c>
      <c r="G32" s="4"/>
      <c r="H32" s="4"/>
    </row>
    <row r="33" customFormat="false" ht="15.75" hidden="false" customHeight="false" outlineLevel="0" collapsed="false">
      <c r="B33" s="3" t="str">
        <f aca="false">IF(COUNTIF(Final_CB_B2_V5!$B$2:$B$491,A33)&gt;=1,"YES","NO")</f>
        <v>NO</v>
      </c>
      <c r="D33" s="3" t="str">
        <f aca="false">IF(COUNTIF(Final_CB_B2_V5!$C$2:$C$491,C33)&gt;=1,"YES","NO")</f>
        <v>NO</v>
      </c>
      <c r="G33" s="4"/>
      <c r="H33" s="4"/>
    </row>
    <row r="34" customFormat="false" ht="15.75" hidden="false" customHeight="false" outlineLevel="0" collapsed="false">
      <c r="B34" s="3" t="str">
        <f aca="false">IF(COUNTIF(Final_CB_B2_V5!$B$2:$B$491,A34)&gt;=1,"YES","NO")</f>
        <v>NO</v>
      </c>
      <c r="D34" s="3" t="str">
        <f aca="false">IF(COUNTIF(Final_CB_B2_V5!$C$2:$C$491,C34)&gt;=1,"YES","NO")</f>
        <v>NO</v>
      </c>
      <c r="G34" s="4"/>
      <c r="H34" s="4"/>
    </row>
    <row r="35" customFormat="false" ht="15.75" hidden="false" customHeight="false" outlineLevel="0" collapsed="false">
      <c r="B35" s="3" t="str">
        <f aca="false">IF(COUNTIF(Final_CB_B2_V5!$B$2:$B$491,A35)&gt;=1,"YES","NO")</f>
        <v>NO</v>
      </c>
      <c r="D35" s="3" t="str">
        <f aca="false">IF(COUNTIF(Final_CB_B2_V5!$C$2:$C$491,C35)&gt;=1,"YES","NO")</f>
        <v>NO</v>
      </c>
      <c r="G35" s="4"/>
      <c r="H35" s="4"/>
    </row>
    <row r="36" customFormat="false" ht="15.75" hidden="false" customHeight="false" outlineLevel="0" collapsed="false">
      <c r="B36" s="3" t="str">
        <f aca="false">IF(COUNTIF(Final_CB_B2_V5!$B$2:$B$491,A36)&gt;=1,"YES","NO")</f>
        <v>NO</v>
      </c>
      <c r="D36" s="3" t="str">
        <f aca="false">IF(COUNTIF(Final_CB_B2_V5!$C$2:$C$491,C36)&gt;=1,"YES","NO")</f>
        <v>NO</v>
      </c>
      <c r="G36" s="4"/>
      <c r="H36" s="4"/>
    </row>
    <row r="37" customFormat="false" ht="15.75" hidden="false" customHeight="false" outlineLevel="0" collapsed="false">
      <c r="B37" s="3" t="str">
        <f aca="false">IF(COUNTIF(Final_CB_B2_V5!$B$2:$B$491,A37)&gt;=1,"YES","NO")</f>
        <v>NO</v>
      </c>
      <c r="D37" s="3" t="str">
        <f aca="false">IF(COUNTIF(Final_CB_B2_V5!$C$2:$C$491,C37)&gt;=1,"YES","NO")</f>
        <v>NO</v>
      </c>
      <c r="G37" s="4"/>
      <c r="H37" s="4"/>
    </row>
    <row r="38" customFormat="false" ht="15.75" hidden="false" customHeight="false" outlineLevel="0" collapsed="false">
      <c r="B38" s="3" t="str">
        <f aca="false">IF(COUNTIF(Final_CB_B2_V5!$B$2:$B$491,A38)&gt;=1,"YES","NO")</f>
        <v>NO</v>
      </c>
      <c r="D38" s="3" t="str">
        <f aca="false">IF(COUNTIF(Final_CB_B2_V5!$C$2:$C$491,C38)&gt;=1,"YES","NO")</f>
        <v>NO</v>
      </c>
      <c r="G38" s="4"/>
      <c r="H38" s="4"/>
    </row>
    <row r="39" customFormat="false" ht="15.75" hidden="false" customHeight="false" outlineLevel="0" collapsed="false">
      <c r="B39" s="3" t="str">
        <f aca="false">IF(COUNTIF(Final_CB_B2_V5!$B$2:$B$491,A39)&gt;=1,"YES","NO")</f>
        <v>NO</v>
      </c>
      <c r="D39" s="3" t="str">
        <f aca="false">IF(COUNTIF(Final_CB_B2_V5!$C$2:$C$491,C39)&gt;=1,"YES","NO")</f>
        <v>NO</v>
      </c>
      <c r="G39" s="4"/>
      <c r="H39" s="4"/>
    </row>
    <row r="40" customFormat="false" ht="15.75" hidden="false" customHeight="false" outlineLevel="0" collapsed="false">
      <c r="B40" s="3" t="str">
        <f aca="false">IF(COUNTIF(Final_CB_B2_V5!$B$2:$B$491,A40)&gt;=1,"YES","NO")</f>
        <v>NO</v>
      </c>
      <c r="D40" s="3" t="str">
        <f aca="false">IF(COUNTIF(Final_CB_B2_V5!$C$2:$C$491,C40)&gt;=1,"YES","NO")</f>
        <v>NO</v>
      </c>
      <c r="G40" s="4"/>
      <c r="H40" s="4"/>
    </row>
    <row r="41" customFormat="false" ht="15.75" hidden="false" customHeight="false" outlineLevel="0" collapsed="false">
      <c r="B41" s="3" t="str">
        <f aca="false">IF(COUNTIF(Final_CB_B2_V5!$B$2:$B$491,A41)&gt;=1,"YES","NO")</f>
        <v>NO</v>
      </c>
      <c r="D41" s="3" t="str">
        <f aca="false">IF(COUNTIF(Final_CB_B2_V5!$C$2:$C$491,C41)&gt;=1,"YES","NO")</f>
        <v>NO</v>
      </c>
      <c r="G41" s="4"/>
      <c r="H41" s="4"/>
    </row>
    <row r="42" customFormat="false" ht="15.75" hidden="false" customHeight="false" outlineLevel="0" collapsed="false">
      <c r="B42" s="3" t="str">
        <f aca="false">IF(COUNTIF(Final_CB_B2_V5!$B$2:$B$491,A42)&gt;=1,"YES","NO")</f>
        <v>NO</v>
      </c>
      <c r="D42" s="3" t="str">
        <f aca="false">IF(COUNTIF(Final_CB_B2_V5!$C$2:$C$491,C42)&gt;=1,"YES","NO")</f>
        <v>NO</v>
      </c>
      <c r="G42" s="4"/>
      <c r="H42" s="4"/>
    </row>
    <row r="43" customFormat="false" ht="15.75" hidden="false" customHeight="false" outlineLevel="0" collapsed="false">
      <c r="B43" s="3" t="str">
        <f aca="false">IF(COUNTIF(Final_CB_B2_V5!$B$2:$B$491,A43)&gt;=1,"YES","NO")</f>
        <v>NO</v>
      </c>
      <c r="D43" s="3" t="str">
        <f aca="false">IF(COUNTIF(Final_CB_B2_V5!$C$2:$C$491,C43)&gt;=1,"YES","NO")</f>
        <v>NO</v>
      </c>
      <c r="G43" s="4"/>
      <c r="H43" s="4"/>
    </row>
    <row r="44" customFormat="false" ht="15.75" hidden="false" customHeight="false" outlineLevel="0" collapsed="false">
      <c r="B44" s="3" t="str">
        <f aca="false">IF(COUNTIF(Final_CB_B2_V5!$B$2:$B$491,A44)&gt;=1,"YES","NO")</f>
        <v>NO</v>
      </c>
      <c r="D44" s="3" t="str">
        <f aca="false">IF(COUNTIF(Final_CB_B2_V5!$C$2:$C$491,C44)&gt;=1,"YES","NO")</f>
        <v>NO</v>
      </c>
      <c r="G44" s="4"/>
      <c r="H44" s="4"/>
    </row>
    <row r="45" customFormat="false" ht="15.75" hidden="false" customHeight="false" outlineLevel="0" collapsed="false">
      <c r="B45" s="3" t="str">
        <f aca="false">IF(COUNTIF(Final_CB_B2_V5!$B$2:$B$491,A45)&gt;=1,"YES","NO")</f>
        <v>NO</v>
      </c>
      <c r="D45" s="3" t="str">
        <f aca="false">IF(COUNTIF(Final_CB_B2_V5!$C$2:$C$491,C45)&gt;=1,"YES","NO")</f>
        <v>NO</v>
      </c>
      <c r="G45" s="4"/>
      <c r="H45" s="4"/>
    </row>
    <row r="46" customFormat="false" ht="15.75" hidden="false" customHeight="false" outlineLevel="0" collapsed="false">
      <c r="B46" s="3" t="str">
        <f aca="false">IF(COUNTIF(Final_CB_B2_V5!$B$2:$B$491,A46)&gt;=1,"YES","NO")</f>
        <v>NO</v>
      </c>
      <c r="D46" s="3" t="str">
        <f aca="false">IF(COUNTIF(Final_CB_B2_V5!$C$2:$C$491,C46)&gt;=1,"YES","NO")</f>
        <v>NO</v>
      </c>
      <c r="G46" s="4"/>
      <c r="H46" s="4"/>
    </row>
    <row r="47" customFormat="false" ht="15.75" hidden="false" customHeight="false" outlineLevel="0" collapsed="false">
      <c r="B47" s="3" t="str">
        <f aca="false">IF(COUNTIF(Final_CB_B2_V5!$B$2:$B$491,A47)&gt;=1,"YES","NO")</f>
        <v>NO</v>
      </c>
      <c r="D47" s="3" t="str">
        <f aca="false">IF(COUNTIF(Final_CB_B2_V5!$C$2:$C$491,C47)&gt;=1,"YES","NO")</f>
        <v>NO</v>
      </c>
      <c r="G47" s="4"/>
      <c r="H47" s="4"/>
    </row>
    <row r="48" customFormat="false" ht="15.75" hidden="false" customHeight="false" outlineLevel="0" collapsed="false">
      <c r="B48" s="3" t="str">
        <f aca="false">IF(COUNTIF(Final_CB_B2_V5!$B$2:$B$491,A48)&gt;=1,"YES","NO")</f>
        <v>NO</v>
      </c>
      <c r="D48" s="3" t="str">
        <f aca="false">IF(COUNTIF(Final_CB_B2_V5!$C$2:$C$491,C48)&gt;=1,"YES","NO")</f>
        <v>NO</v>
      </c>
      <c r="G48" s="4"/>
      <c r="H48" s="4"/>
    </row>
    <row r="49" customFormat="false" ht="15.75" hidden="false" customHeight="false" outlineLevel="0" collapsed="false">
      <c r="B49" s="3" t="str">
        <f aca="false">IF(COUNTIF(Final_CB_B2_V5!$B$2:$B$491,A49)&gt;=1,"YES","NO")</f>
        <v>NO</v>
      </c>
      <c r="D49" s="3" t="str">
        <f aca="false">IF(COUNTIF(Final_CB_B2_V5!$C$2:$C$491,C49)&gt;=1,"YES","NO")</f>
        <v>NO</v>
      </c>
      <c r="G49" s="4"/>
      <c r="H49" s="4"/>
    </row>
    <row r="50" customFormat="false" ht="15.75" hidden="false" customHeight="false" outlineLevel="0" collapsed="false">
      <c r="B50" s="3" t="str">
        <f aca="false">IF(COUNTIF(Final_CB_B2_V5!$B$2:$B$491,A50)&gt;=1,"YES","NO")</f>
        <v>NO</v>
      </c>
      <c r="D50" s="3" t="str">
        <f aca="false">IF(COUNTIF(Final_CB_B2_V5!$C$2:$C$491,C50)&gt;=1,"YES","NO")</f>
        <v>NO</v>
      </c>
      <c r="G50" s="4"/>
      <c r="H50" s="4"/>
    </row>
    <row r="51" customFormat="false" ht="15.75" hidden="false" customHeight="false" outlineLevel="0" collapsed="false">
      <c r="B51" s="3" t="str">
        <f aca="false">IF(COUNTIF(Final_CB_B2_V5!$B$2:$B$491,A51)&gt;=1,"YES","NO")</f>
        <v>NO</v>
      </c>
      <c r="D51" s="3" t="str">
        <f aca="false">IF(COUNTIF(Final_CB_B2_V5!$C$2:$C$491,C51)&gt;=1,"YES","NO")</f>
        <v>NO</v>
      </c>
      <c r="G51" s="4"/>
      <c r="H51" s="4"/>
    </row>
    <row r="52" customFormat="false" ht="15.75" hidden="false" customHeight="false" outlineLevel="0" collapsed="false">
      <c r="B52" s="3" t="str">
        <f aca="false">IF(COUNTIF(Final_CB_B2_V5!$B$2:$B$491,A52)&gt;=1,"YES","NO")</f>
        <v>NO</v>
      </c>
      <c r="D52" s="3" t="str">
        <f aca="false">IF(COUNTIF(Final_CB_B2_V5!$C$2:$C$491,C52)&gt;=1,"YES","NO")</f>
        <v>NO</v>
      </c>
      <c r="G52" s="4"/>
      <c r="H52" s="4"/>
    </row>
    <row r="53" customFormat="false" ht="15.75" hidden="false" customHeight="false" outlineLevel="0" collapsed="false">
      <c r="B53" s="3" t="str">
        <f aca="false">IF(COUNTIF(Final_CB_B2_V5!$B$2:$B$491,A53)&gt;=1,"YES","NO")</f>
        <v>NO</v>
      </c>
      <c r="D53" s="3" t="str">
        <f aca="false">IF(COUNTIF(Final_CB_B2_V5!$C$2:$C$491,C53)&gt;=1,"YES","NO")</f>
        <v>NO</v>
      </c>
      <c r="G53" s="4"/>
      <c r="H53" s="4"/>
    </row>
    <row r="54" customFormat="false" ht="15.75" hidden="false" customHeight="false" outlineLevel="0" collapsed="false">
      <c r="B54" s="3" t="str">
        <f aca="false">IF(COUNTIF(Final_CB_B2_V5!$B$2:$B$491,A54)&gt;=1,"YES","NO")</f>
        <v>NO</v>
      </c>
      <c r="D54" s="3" t="str">
        <f aca="false">IF(COUNTIF(Final_CB_B2_V5!$C$2:$C$491,C54)&gt;=1,"YES","NO")</f>
        <v>NO</v>
      </c>
      <c r="G54" s="4"/>
      <c r="H54" s="4"/>
    </row>
    <row r="55" customFormat="false" ht="15.75" hidden="false" customHeight="false" outlineLevel="0" collapsed="false">
      <c r="B55" s="3" t="str">
        <f aca="false">IF(COUNTIF(Final_CB_B2_V5!$B$2:$B$491,A55)&gt;=1,"YES","NO")</f>
        <v>NO</v>
      </c>
      <c r="D55" s="3" t="str">
        <f aca="false">IF(COUNTIF(Final_CB_B2_V5!$C$2:$C$491,C55)&gt;=1,"YES","NO")</f>
        <v>NO</v>
      </c>
      <c r="G55" s="4"/>
      <c r="H55" s="4"/>
    </row>
    <row r="56" customFormat="false" ht="15.75" hidden="false" customHeight="false" outlineLevel="0" collapsed="false">
      <c r="B56" s="3" t="str">
        <f aca="false">IF(COUNTIF(Final_CB_B2_V5!$B$2:$B$491,A56)&gt;=1,"YES","NO")</f>
        <v>NO</v>
      </c>
      <c r="D56" s="3" t="str">
        <f aca="false">IF(COUNTIF(Final_CB_B2_V5!$C$2:$C$491,C56)&gt;=1,"YES","NO")</f>
        <v>NO</v>
      </c>
      <c r="G56" s="4"/>
      <c r="H56" s="4"/>
    </row>
    <row r="57" customFormat="false" ht="15.75" hidden="false" customHeight="false" outlineLevel="0" collapsed="false">
      <c r="B57" s="3" t="str">
        <f aca="false">IF(COUNTIF(Final_CB_B2_V5!$B$2:$B$491,A57)&gt;=1,"YES","NO")</f>
        <v>NO</v>
      </c>
      <c r="D57" s="3" t="str">
        <f aca="false">IF(COUNTIF(Final_CB_B2_V5!$C$2:$C$491,C57)&gt;=1,"YES","NO")</f>
        <v>NO</v>
      </c>
      <c r="G57" s="4"/>
      <c r="H57" s="4"/>
    </row>
    <row r="58" customFormat="false" ht="15.75" hidden="false" customHeight="false" outlineLevel="0" collapsed="false">
      <c r="B58" s="3" t="str">
        <f aca="false">IF(COUNTIF(Final_CB_B2_V5!$B$2:$B$491,A58)&gt;=1,"YES","NO")</f>
        <v>NO</v>
      </c>
      <c r="D58" s="3" t="str">
        <f aca="false">IF(COUNTIF(Final_CB_B2_V5!$C$2:$C$491,C58)&gt;=1,"YES","NO")</f>
        <v>NO</v>
      </c>
      <c r="G58" s="4"/>
      <c r="H58" s="4"/>
    </row>
    <row r="59" customFormat="false" ht="15.75" hidden="false" customHeight="false" outlineLevel="0" collapsed="false">
      <c r="B59" s="3" t="str">
        <f aca="false">IF(COUNTIF(Final_CB_B2_V5!$B$2:$B$491,A59)&gt;=1,"YES","NO")</f>
        <v>NO</v>
      </c>
      <c r="D59" s="3" t="str">
        <f aca="false">IF(COUNTIF(Final_CB_B2_V5!$C$2:$C$491,C59)&gt;=1,"YES","NO")</f>
        <v>NO</v>
      </c>
      <c r="G59" s="4"/>
      <c r="H59" s="4"/>
    </row>
    <row r="60" customFormat="false" ht="15.75" hidden="false" customHeight="false" outlineLevel="0" collapsed="false">
      <c r="B60" s="3" t="str">
        <f aca="false">IF(COUNTIF(Final_CB_B2_V5!$B$2:$B$491,A60)&gt;=1,"YES","NO")</f>
        <v>NO</v>
      </c>
      <c r="D60" s="3" t="str">
        <f aca="false">IF(COUNTIF(Final_CB_B2_V5!$C$2:$C$491,C60)&gt;=1,"YES","NO")</f>
        <v>NO</v>
      </c>
      <c r="G60" s="4"/>
      <c r="H60" s="4"/>
    </row>
    <row r="61" customFormat="false" ht="15.75" hidden="false" customHeight="false" outlineLevel="0" collapsed="false">
      <c r="B61" s="3" t="str">
        <f aca="false">IF(COUNTIF(Final_CB_B2_V5!$B$2:$B$491,A61)&gt;=1,"YES","NO")</f>
        <v>NO</v>
      </c>
      <c r="D61" s="3" t="str">
        <f aca="false">IF(COUNTIF(Final_CB_B2_V5!$C$2:$C$491,C61)&gt;=1,"YES","NO")</f>
        <v>NO</v>
      </c>
      <c r="G61" s="4"/>
      <c r="H61" s="4"/>
    </row>
    <row r="62" customFormat="false" ht="15.75" hidden="false" customHeight="false" outlineLevel="0" collapsed="false">
      <c r="B62" s="3" t="str">
        <f aca="false">IF(COUNTIF(Final_CB_B2_V5!$B$2:$B$491,A62)&gt;=1,"YES","NO")</f>
        <v>NO</v>
      </c>
      <c r="D62" s="3" t="str">
        <f aca="false">IF(COUNTIF(Final_CB_B2_V5!$C$2:$C$491,C62)&gt;=1,"YES","NO")</f>
        <v>NO</v>
      </c>
      <c r="G62" s="4"/>
      <c r="H62" s="4"/>
    </row>
    <row r="63" customFormat="false" ht="15.75" hidden="false" customHeight="false" outlineLevel="0" collapsed="false">
      <c r="B63" s="3" t="str">
        <f aca="false">IF(COUNTIF(Final_CB_B2_V5!$B$2:$B$491,A63)&gt;=1,"YES","NO")</f>
        <v>NO</v>
      </c>
      <c r="D63" s="3" t="str">
        <f aca="false">IF(COUNTIF(Final_CB_B2_V5!$C$2:$C$491,C63)&gt;=1,"YES","NO")</f>
        <v>NO</v>
      </c>
      <c r="G63" s="4"/>
      <c r="H63" s="4"/>
    </row>
    <row r="64" customFormat="false" ht="15.75" hidden="false" customHeight="false" outlineLevel="0" collapsed="false">
      <c r="B64" s="3" t="str">
        <f aca="false">IF(COUNTIF(Final_CB_B2_V5!$B$2:$B$491,A64)&gt;=1,"YES","NO")</f>
        <v>NO</v>
      </c>
      <c r="D64" s="3" t="str">
        <f aca="false">IF(COUNTIF(Final_CB_B2_V5!$C$2:$C$491,C64)&gt;=1,"YES","NO")</f>
        <v>NO</v>
      </c>
      <c r="G64" s="4"/>
      <c r="H64" s="4"/>
    </row>
    <row r="65" customFormat="false" ht="15.75" hidden="false" customHeight="false" outlineLevel="0" collapsed="false">
      <c r="B65" s="3" t="str">
        <f aca="false">IF(COUNTIF(Final_CB_B2_V5!$B$2:$B$491,A65)&gt;=1,"YES","NO")</f>
        <v>NO</v>
      </c>
      <c r="D65" s="3" t="str">
        <f aca="false">IF(COUNTIF(Final_CB_B2_V5!$C$2:$C$491,C65)&gt;=1,"YES","NO")</f>
        <v>NO</v>
      </c>
      <c r="G65" s="4"/>
      <c r="H65" s="4"/>
    </row>
    <row r="66" customFormat="false" ht="15.75" hidden="false" customHeight="false" outlineLevel="0" collapsed="false">
      <c r="B66" s="3" t="str">
        <f aca="false">IF(COUNTIF(Final_CB_B2_V5!$B$2:$B$491,A66)&gt;=1,"YES","NO")</f>
        <v>NO</v>
      </c>
      <c r="D66" s="3" t="str">
        <f aca="false">IF(COUNTIF(Final_CB_B2_V5!$C$2:$C$491,C66)&gt;=1,"YES","NO")</f>
        <v>NO</v>
      </c>
      <c r="G66" s="4"/>
      <c r="H66" s="4"/>
    </row>
    <row r="67" customFormat="false" ht="15.75" hidden="false" customHeight="false" outlineLevel="0" collapsed="false">
      <c r="B67" s="3" t="str">
        <f aca="false">IF(COUNTIF(Final_CB_B2_V5!$B$2:$B$491,A67)&gt;=1,"YES","NO")</f>
        <v>NO</v>
      </c>
      <c r="D67" s="3" t="str">
        <f aca="false">IF(COUNTIF(Final_CB_B2_V5!$C$2:$C$491,C67)&gt;=1,"YES","NO")</f>
        <v>NO</v>
      </c>
      <c r="G67" s="4"/>
      <c r="H67" s="4"/>
    </row>
    <row r="68" customFormat="false" ht="15.75" hidden="false" customHeight="false" outlineLevel="0" collapsed="false">
      <c r="B68" s="3" t="str">
        <f aca="false">IF(COUNTIF(Final_CB_B2_V5!$B$2:$B$491,A68)&gt;=1,"YES","NO")</f>
        <v>NO</v>
      </c>
      <c r="D68" s="3" t="str">
        <f aca="false">IF(COUNTIF(Final_CB_B2_V5!$C$2:$C$491,C68)&gt;=1,"YES","NO")</f>
        <v>NO</v>
      </c>
      <c r="G68" s="4"/>
      <c r="H68" s="4"/>
    </row>
    <row r="69" customFormat="false" ht="15.75" hidden="false" customHeight="false" outlineLevel="0" collapsed="false">
      <c r="B69" s="3" t="str">
        <f aca="false">IF(COUNTIF(Final_CB_B2_V5!$B$2:$B$491,A69)&gt;=1,"YES","NO")</f>
        <v>NO</v>
      </c>
      <c r="D69" s="3" t="str">
        <f aca="false">IF(COUNTIF(Final_CB_B2_V5!$C$2:$C$491,C69)&gt;=1,"YES","NO")</f>
        <v>NO</v>
      </c>
      <c r="G69" s="4"/>
      <c r="H69" s="4"/>
    </row>
    <row r="70" customFormat="false" ht="15.75" hidden="false" customHeight="false" outlineLevel="0" collapsed="false">
      <c r="B70" s="3" t="str">
        <f aca="false">IF(COUNTIF(Final_CB_B2_V5!$B$2:$B$491,A70)&gt;=1,"YES","NO")</f>
        <v>NO</v>
      </c>
      <c r="D70" s="3" t="str">
        <f aca="false">IF(COUNTIF(Final_CB_B2_V5!$C$2:$C$491,C70)&gt;=1,"YES","NO")</f>
        <v>NO</v>
      </c>
      <c r="G70" s="4"/>
      <c r="H70" s="4"/>
    </row>
    <row r="71" customFormat="false" ht="15.75" hidden="false" customHeight="false" outlineLevel="0" collapsed="false">
      <c r="B71" s="3" t="str">
        <f aca="false">IF(COUNTIF(Final_CB_B2_V5!$B$2:$B$491,A71)&gt;=1,"YES","NO")</f>
        <v>NO</v>
      </c>
      <c r="D71" s="3" t="str">
        <f aca="false">IF(COUNTIF(Final_CB_B2_V5!$C$2:$C$491,C71)&gt;=1,"YES","NO")</f>
        <v>NO</v>
      </c>
      <c r="G71" s="4"/>
      <c r="H71" s="4"/>
    </row>
    <row r="72" customFormat="false" ht="15.75" hidden="false" customHeight="false" outlineLevel="0" collapsed="false">
      <c r="B72" s="3" t="str">
        <f aca="false">IF(COUNTIF(Final_CB_B2_V5!$B$2:$B$491,A72)&gt;=1,"YES","NO")</f>
        <v>NO</v>
      </c>
      <c r="D72" s="3" t="str">
        <f aca="false">IF(COUNTIF(Final_CB_B2_V5!$C$2:$C$491,C72)&gt;=1,"YES","NO")</f>
        <v>NO</v>
      </c>
      <c r="G72" s="4"/>
      <c r="H72" s="4"/>
    </row>
    <row r="73" customFormat="false" ht="15.75" hidden="false" customHeight="false" outlineLevel="0" collapsed="false">
      <c r="B73" s="3" t="str">
        <f aca="false">IF(COUNTIF(Final_CB_B2_V5!$B$2:$B$491,A73)&gt;=1,"YES","NO")</f>
        <v>NO</v>
      </c>
      <c r="D73" s="3" t="str">
        <f aca="false">IF(COUNTIF(Final_CB_B2_V5!$C$2:$C$491,C73)&gt;=1,"YES","NO")</f>
        <v>NO</v>
      </c>
      <c r="G73" s="4"/>
      <c r="H73" s="4"/>
    </row>
    <row r="74" customFormat="false" ht="15.75" hidden="false" customHeight="false" outlineLevel="0" collapsed="false">
      <c r="B74" s="3" t="str">
        <f aca="false">IF(COUNTIF(Final_CB_B2_V5!$B$2:$B$491,A74)&gt;=1,"YES","NO")</f>
        <v>NO</v>
      </c>
      <c r="D74" s="3" t="str">
        <f aca="false">IF(COUNTIF(Final_CB_B2_V5!$C$2:$C$491,C74)&gt;=1,"YES","NO")</f>
        <v>NO</v>
      </c>
      <c r="G74" s="4"/>
      <c r="H74" s="4"/>
    </row>
    <row r="75" customFormat="false" ht="15.75" hidden="false" customHeight="false" outlineLevel="0" collapsed="false">
      <c r="B75" s="3" t="str">
        <f aca="false">IF(COUNTIF(Final_CB_B2_V5!$B$2:$B$491,A75)&gt;=1,"YES","NO")</f>
        <v>NO</v>
      </c>
      <c r="D75" s="3" t="str">
        <f aca="false">IF(COUNTIF(Final_CB_B2_V5!$C$2:$C$491,C75)&gt;=1,"YES","NO")</f>
        <v>NO</v>
      </c>
      <c r="G75" s="4"/>
      <c r="H75" s="4"/>
    </row>
    <row r="76" customFormat="false" ht="15.75" hidden="false" customHeight="false" outlineLevel="0" collapsed="false">
      <c r="B76" s="3" t="str">
        <f aca="false">IF(COUNTIF(Final_CB_B2_V5!$B$2:$B$491,A76)&gt;=1,"YES","NO")</f>
        <v>NO</v>
      </c>
      <c r="D76" s="3" t="str">
        <f aca="false">IF(COUNTIF(Final_CB_B2_V5!$C$2:$C$491,C76)&gt;=1,"YES","NO")</f>
        <v>NO</v>
      </c>
      <c r="G76" s="4"/>
      <c r="H76" s="4"/>
    </row>
    <row r="77" customFormat="false" ht="15.75" hidden="false" customHeight="false" outlineLevel="0" collapsed="false">
      <c r="B77" s="3" t="str">
        <f aca="false">IF(COUNTIF(Final_CB_B2_V5!$B$2:$B$491,A77)&gt;=1,"YES","NO")</f>
        <v>NO</v>
      </c>
      <c r="D77" s="3" t="str">
        <f aca="false">IF(COUNTIF(Final_CB_B2_V5!$C$2:$C$491,C77)&gt;=1,"YES","NO")</f>
        <v>NO</v>
      </c>
      <c r="G77" s="4"/>
      <c r="H77" s="4"/>
    </row>
    <row r="78" customFormat="false" ht="15.75" hidden="false" customHeight="false" outlineLevel="0" collapsed="false">
      <c r="B78" s="3" t="str">
        <f aca="false">IF(COUNTIF(Final_CB_B2_V5!$B$2:$B$491,A78)&gt;=1,"YES","NO")</f>
        <v>NO</v>
      </c>
      <c r="D78" s="3" t="str">
        <f aca="false">IF(COUNTIF(Final_CB_B2_V5!$C$2:$C$491,C78)&gt;=1,"YES","NO")</f>
        <v>NO</v>
      </c>
      <c r="G78" s="4"/>
      <c r="H78" s="4"/>
    </row>
    <row r="79" customFormat="false" ht="15.75" hidden="false" customHeight="false" outlineLevel="0" collapsed="false">
      <c r="B79" s="3" t="str">
        <f aca="false">IF(COUNTIF(Final_CB_B2_V5!$B$2:$B$491,A79)&gt;=1,"YES","NO")</f>
        <v>NO</v>
      </c>
      <c r="D79" s="3" t="str">
        <f aca="false">IF(COUNTIF(Final_CB_B2_V5!$C$2:$C$491,C79)&gt;=1,"YES","NO")</f>
        <v>NO</v>
      </c>
      <c r="G79" s="4"/>
      <c r="H79" s="4"/>
    </row>
    <row r="80" customFormat="false" ht="15.75" hidden="false" customHeight="false" outlineLevel="0" collapsed="false">
      <c r="B80" s="3" t="str">
        <f aca="false">IF(COUNTIF(Final_CB_B2_V5!$B$2:$B$491,A80)&gt;=1,"YES","NO")</f>
        <v>NO</v>
      </c>
      <c r="D80" s="3" t="str">
        <f aca="false">IF(COUNTIF(Final_CB_B2_V5!$C$2:$C$491,C80)&gt;=1,"YES","NO")</f>
        <v>NO</v>
      </c>
      <c r="G80" s="4"/>
      <c r="H80" s="4"/>
    </row>
    <row r="81" customFormat="false" ht="15.75" hidden="false" customHeight="false" outlineLevel="0" collapsed="false">
      <c r="B81" s="3" t="str">
        <f aca="false">IF(COUNTIF(Final_CB_B2_V5!$B$2:$B$491,A81)&gt;=1,"YES","NO")</f>
        <v>NO</v>
      </c>
      <c r="D81" s="3" t="str">
        <f aca="false">IF(COUNTIF(Final_CB_B2_V5!$C$2:$C$491,C81)&gt;=1,"YES","NO")</f>
        <v>NO</v>
      </c>
      <c r="G81" s="4"/>
      <c r="H81" s="4"/>
    </row>
    <row r="82" customFormat="false" ht="15.75" hidden="false" customHeight="false" outlineLevel="0" collapsed="false">
      <c r="B82" s="3" t="str">
        <f aca="false">IF(COUNTIF(Final_CB_B2_V5!$B$2:$B$491,A82)&gt;=1,"YES","NO")</f>
        <v>NO</v>
      </c>
      <c r="D82" s="3" t="str">
        <f aca="false">IF(COUNTIF(Final_CB_B2_V5!$C$2:$C$491,C82)&gt;=1,"YES","NO")</f>
        <v>NO</v>
      </c>
      <c r="G82" s="4"/>
      <c r="H82" s="4"/>
    </row>
    <row r="83" customFormat="false" ht="15.75" hidden="false" customHeight="false" outlineLevel="0" collapsed="false">
      <c r="B83" s="3" t="str">
        <f aca="false">IF(COUNTIF(Final_CB_B2_V5!$B$2:$B$491,A83)&gt;=1,"YES","NO")</f>
        <v>NO</v>
      </c>
      <c r="D83" s="3" t="str">
        <f aca="false">IF(COUNTIF(Final_CB_B2_V5!$C$2:$C$491,C83)&gt;=1,"YES","NO")</f>
        <v>NO</v>
      </c>
      <c r="G83" s="4"/>
      <c r="H83" s="4"/>
    </row>
    <row r="84" customFormat="false" ht="15.75" hidden="false" customHeight="false" outlineLevel="0" collapsed="false">
      <c r="B84" s="3" t="str">
        <f aca="false">IF(COUNTIF(Final_CB_B2_V5!$B$2:$B$491,A84)&gt;=1,"YES","NO")</f>
        <v>NO</v>
      </c>
      <c r="D84" s="3" t="str">
        <f aca="false">IF(COUNTIF(Final_CB_B2_V5!$C$2:$C$491,C84)&gt;=1,"YES","NO")</f>
        <v>NO</v>
      </c>
      <c r="G84" s="4"/>
      <c r="H84" s="4"/>
    </row>
    <row r="85" customFormat="false" ht="15.75" hidden="false" customHeight="false" outlineLevel="0" collapsed="false">
      <c r="B85" s="3" t="str">
        <f aca="false">IF(COUNTIF(Final_CB_B2_V5!$B$2:$B$491,A85)&gt;=1,"YES","NO")</f>
        <v>NO</v>
      </c>
      <c r="D85" s="3" t="str">
        <f aca="false">IF(COUNTIF(Final_CB_B2_V5!$C$2:$C$491,C85)&gt;=1,"YES","NO")</f>
        <v>NO</v>
      </c>
      <c r="G85" s="4"/>
      <c r="H85" s="4"/>
    </row>
    <row r="86" customFormat="false" ht="15.75" hidden="false" customHeight="false" outlineLevel="0" collapsed="false">
      <c r="B86" s="3" t="str">
        <f aca="false">IF(COUNTIF(Final_CB_B2_V5!$B$2:$B$491,A86)&gt;=1,"YES","NO")</f>
        <v>NO</v>
      </c>
      <c r="D86" s="3" t="str">
        <f aca="false">IF(COUNTIF(Final_CB_B2_V5!$C$2:$C$491,C86)&gt;=1,"YES","NO")</f>
        <v>NO</v>
      </c>
      <c r="G86" s="4"/>
      <c r="H86" s="4"/>
    </row>
    <row r="87" customFormat="false" ht="15.75" hidden="false" customHeight="false" outlineLevel="0" collapsed="false">
      <c r="B87" s="3" t="str">
        <f aca="false">IF(COUNTIF(Final_CB_B2_V5!$B$2:$B$491,A87)&gt;=1,"YES","NO")</f>
        <v>NO</v>
      </c>
      <c r="D87" s="3" t="str">
        <f aca="false">IF(COUNTIF(Final_CB_B2_V5!$C$2:$C$491,C87)&gt;=1,"YES","NO")</f>
        <v>NO</v>
      </c>
      <c r="G87" s="4"/>
      <c r="H87" s="4"/>
    </row>
    <row r="88" customFormat="false" ht="15.75" hidden="false" customHeight="false" outlineLevel="0" collapsed="false">
      <c r="B88" s="3" t="str">
        <f aca="false">IF(COUNTIF(Final_CB_B2_V5!$B$2:$B$491,A88)&gt;=1,"YES","NO")</f>
        <v>NO</v>
      </c>
      <c r="D88" s="3" t="str">
        <f aca="false">IF(COUNTIF(Final_CB_B2_V5!$C$2:$C$491,C88)&gt;=1,"YES","NO")</f>
        <v>NO</v>
      </c>
      <c r="G88" s="4"/>
      <c r="H88" s="4"/>
    </row>
    <row r="89" customFormat="false" ht="15.75" hidden="false" customHeight="false" outlineLevel="0" collapsed="false">
      <c r="B89" s="3" t="str">
        <f aca="false">IF(COUNTIF(Final_CB_B2_V5!$B$2:$B$491,A89)&gt;=1,"YES","NO")</f>
        <v>NO</v>
      </c>
      <c r="D89" s="3" t="str">
        <f aca="false">IF(COUNTIF(Final_CB_B2_V5!$C$2:$C$491,C89)&gt;=1,"YES","NO")</f>
        <v>NO</v>
      </c>
      <c r="G89" s="4"/>
      <c r="H89" s="4"/>
    </row>
    <row r="90" customFormat="false" ht="15.75" hidden="false" customHeight="false" outlineLevel="0" collapsed="false">
      <c r="B90" s="3" t="str">
        <f aca="false">IF(COUNTIF(Final_CB_B2_V5!$B$2:$B$491,A90)&gt;=1,"YES","NO")</f>
        <v>NO</v>
      </c>
      <c r="D90" s="3" t="str">
        <f aca="false">IF(COUNTIF(Final_CB_B2_V5!$C$2:$C$491,C90)&gt;=1,"YES","NO")</f>
        <v>NO</v>
      </c>
      <c r="G90" s="4"/>
      <c r="H90" s="4"/>
    </row>
    <row r="91" customFormat="false" ht="15.75" hidden="false" customHeight="false" outlineLevel="0" collapsed="false">
      <c r="B91" s="3" t="str">
        <f aca="false">IF(COUNTIF(Final_CB_B2_V5!$B$2:$B$491,A91)&gt;=1,"YES","NO")</f>
        <v>NO</v>
      </c>
      <c r="D91" s="3" t="str">
        <f aca="false">IF(COUNTIF(Final_CB_B2_V5!$C$2:$C$491,C91)&gt;=1,"YES","NO")</f>
        <v>NO</v>
      </c>
      <c r="G91" s="4"/>
      <c r="H91" s="4"/>
    </row>
    <row r="92" customFormat="false" ht="15.75" hidden="false" customHeight="false" outlineLevel="0" collapsed="false">
      <c r="B92" s="3" t="str">
        <f aca="false">IF(COUNTIF(Final_CB_B2_V5!$B$2:$B$491,A92)&gt;=1,"YES","NO")</f>
        <v>NO</v>
      </c>
      <c r="D92" s="3" t="str">
        <f aca="false">IF(COUNTIF(Final_CB_B2_V5!$C$2:$C$491,C92)&gt;=1,"YES","NO")</f>
        <v>NO</v>
      </c>
      <c r="G92" s="4"/>
      <c r="H92" s="4"/>
    </row>
    <row r="93" customFormat="false" ht="15.75" hidden="false" customHeight="false" outlineLevel="0" collapsed="false">
      <c r="B93" s="3" t="str">
        <f aca="false">IF(COUNTIF(Final_CB_B2_V5!$B$2:$B$491,A93)&gt;=1,"YES","NO")</f>
        <v>NO</v>
      </c>
      <c r="D93" s="3" t="str">
        <f aca="false">IF(COUNTIF(Final_CB_B2_V5!$C$2:$C$491,C93)&gt;=1,"YES","NO")</f>
        <v>NO</v>
      </c>
      <c r="G93" s="4"/>
      <c r="H93" s="4"/>
    </row>
    <row r="94" customFormat="false" ht="15.75" hidden="false" customHeight="false" outlineLevel="0" collapsed="false">
      <c r="B94" s="3" t="str">
        <f aca="false">IF(COUNTIF(Final_CB_B2_V5!$B$2:$B$491,A94)&gt;=1,"YES","NO")</f>
        <v>NO</v>
      </c>
      <c r="D94" s="3" t="str">
        <f aca="false">IF(COUNTIF(Final_CB_B2_V5!$C$2:$C$491,C94)&gt;=1,"YES","NO")</f>
        <v>NO</v>
      </c>
      <c r="G94" s="4"/>
      <c r="H94" s="4"/>
    </row>
    <row r="95" customFormat="false" ht="15.75" hidden="false" customHeight="false" outlineLevel="0" collapsed="false">
      <c r="B95" s="3" t="str">
        <f aca="false">IF(COUNTIF(Final_CB_B2_V5!$B$2:$B$491,A95)&gt;=1,"YES","NO")</f>
        <v>NO</v>
      </c>
      <c r="D95" s="3" t="str">
        <f aca="false">IF(COUNTIF(Final_CB_B2_V5!$C$2:$C$491,C95)&gt;=1,"YES","NO")</f>
        <v>NO</v>
      </c>
      <c r="G95" s="4"/>
      <c r="H95" s="4"/>
    </row>
    <row r="96" customFormat="false" ht="15.75" hidden="false" customHeight="false" outlineLevel="0" collapsed="false">
      <c r="B96" s="3" t="str">
        <f aca="false">IF(COUNTIF(Final_CB_B2_V5!$B$2:$B$491,A96)&gt;=1,"YES","NO")</f>
        <v>NO</v>
      </c>
      <c r="D96" s="3" t="str">
        <f aca="false">IF(COUNTIF(Final_CB_B2_V5!$C$2:$C$491,C96)&gt;=1,"YES","NO")</f>
        <v>NO</v>
      </c>
      <c r="G96" s="4"/>
      <c r="H96" s="4"/>
    </row>
    <row r="97" customFormat="false" ht="15.75" hidden="false" customHeight="false" outlineLevel="0" collapsed="false">
      <c r="B97" s="3" t="str">
        <f aca="false">IF(COUNTIF(Final_CB_B2_V5!$B$2:$B$491,A97)&gt;=1,"YES","NO")</f>
        <v>NO</v>
      </c>
      <c r="D97" s="3" t="str">
        <f aca="false">IF(COUNTIF(Final_CB_B2_V5!$C$2:$C$491,C97)&gt;=1,"YES","NO")</f>
        <v>NO</v>
      </c>
      <c r="G97" s="4"/>
      <c r="H97" s="4"/>
    </row>
    <row r="98" customFormat="false" ht="15.75" hidden="false" customHeight="false" outlineLevel="0" collapsed="false">
      <c r="B98" s="3" t="str">
        <f aca="false">IF(COUNTIF(Final_CB_B2_V5!$B$2:$B$491,A98)&gt;=1,"YES","NO")</f>
        <v>NO</v>
      </c>
      <c r="D98" s="3" t="str">
        <f aca="false">IF(COUNTIF(Final_CB_B2_V5!$C$2:$C$491,C98)&gt;=1,"YES","NO")</f>
        <v>NO</v>
      </c>
      <c r="G98" s="4"/>
      <c r="H98" s="4"/>
    </row>
    <row r="99" customFormat="false" ht="15.75" hidden="false" customHeight="false" outlineLevel="0" collapsed="false">
      <c r="B99" s="3" t="str">
        <f aca="false">IF(COUNTIF(Final_CB_B2_V5!$B$2:$B$491,A99)&gt;=1,"YES","NO")</f>
        <v>NO</v>
      </c>
      <c r="D99" s="3" t="str">
        <f aca="false">IF(COUNTIF(Final_CB_B2_V5!$C$2:$C$491,C99)&gt;=1,"YES","NO")</f>
        <v>NO</v>
      </c>
      <c r="G99" s="4"/>
      <c r="H99" s="4"/>
    </row>
    <row r="100" customFormat="false" ht="15.75" hidden="false" customHeight="false" outlineLevel="0" collapsed="false">
      <c r="B100" s="3" t="str">
        <f aca="false">IF(COUNTIF(Final_CB_B2_V5!$B$2:$B$491,A100)&gt;=1,"YES","NO")</f>
        <v>NO</v>
      </c>
      <c r="D100" s="3" t="str">
        <f aca="false">IF(COUNTIF(Final_CB_B2_V5!$C$2:$C$491,C100)&gt;=1,"YES","NO")</f>
        <v>NO</v>
      </c>
      <c r="G100" s="4"/>
      <c r="H100" s="4"/>
    </row>
    <row r="101" customFormat="false" ht="15.75" hidden="false" customHeight="false" outlineLevel="0" collapsed="false">
      <c r="B101" s="3" t="str">
        <f aca="false">IF(COUNTIF(Final_CB_B2_V5!$B$2:$B$491,A101)&gt;=1,"YES","NO")</f>
        <v>NO</v>
      </c>
      <c r="D101" s="3" t="str">
        <f aca="false">IF(COUNTIF(Final_CB_B2_V5!$C$2:$C$491,C101)&gt;=1,"YES","NO")</f>
        <v>NO</v>
      </c>
      <c r="G101" s="4"/>
      <c r="H101" s="4"/>
    </row>
    <row r="102" customFormat="false" ht="15.75" hidden="false" customHeight="false" outlineLevel="0" collapsed="false">
      <c r="B102" s="3" t="str">
        <f aca="false">IF(COUNTIF(Final_CB_B2_V5!$B$2:$B$491,A102)&gt;=1,"YES","NO")</f>
        <v>NO</v>
      </c>
      <c r="D102" s="3" t="str">
        <f aca="false">IF(COUNTIF(Final_CB_B2_V5!$C$2:$C$491,C102)&gt;=1,"YES","NO")</f>
        <v>NO</v>
      </c>
      <c r="G102" s="4"/>
      <c r="H102" s="4"/>
    </row>
    <row r="103" customFormat="false" ht="15.75" hidden="false" customHeight="false" outlineLevel="0" collapsed="false">
      <c r="B103" s="3" t="str">
        <f aca="false">IF(COUNTIF(Final_CB_B2_V5!$B$2:$B$491,A103)&gt;=1,"YES","NO")</f>
        <v>NO</v>
      </c>
      <c r="D103" s="3" t="str">
        <f aca="false">IF(COUNTIF(Final_CB_B2_V5!$C$2:$C$491,C103)&gt;=1,"YES","NO")</f>
        <v>NO</v>
      </c>
      <c r="G103" s="4"/>
      <c r="H103" s="4"/>
    </row>
    <row r="104" customFormat="false" ht="15.75" hidden="false" customHeight="false" outlineLevel="0" collapsed="false">
      <c r="B104" s="3" t="str">
        <f aca="false">IF(COUNTIF(Final_CB_B2_V5!$B$2:$B$491,A104)&gt;=1,"YES","NO")</f>
        <v>NO</v>
      </c>
      <c r="D104" s="3" t="str">
        <f aca="false">IF(COUNTIF(Final_CB_B2_V5!$C$2:$C$491,C104)&gt;=1,"YES","NO")</f>
        <v>NO</v>
      </c>
      <c r="G104" s="4"/>
      <c r="H104" s="4"/>
    </row>
    <row r="105" customFormat="false" ht="15.75" hidden="false" customHeight="false" outlineLevel="0" collapsed="false">
      <c r="B105" s="3" t="str">
        <f aca="false">IF(COUNTIF(Final_CB_B2_V5!$B$2:$B$491,A105)&gt;=1,"YES","NO")</f>
        <v>NO</v>
      </c>
      <c r="D105" s="3" t="str">
        <f aca="false">IF(COUNTIF(Final_CB_B2_V5!$C$2:$C$491,C105)&gt;=1,"YES","NO")</f>
        <v>NO</v>
      </c>
      <c r="G105" s="4"/>
      <c r="H105" s="4"/>
    </row>
    <row r="106" customFormat="false" ht="15.75" hidden="false" customHeight="false" outlineLevel="0" collapsed="false">
      <c r="B106" s="3" t="str">
        <f aca="false">IF(COUNTIF(Final_CB_B2_V5!$B$2:$B$491,A106)&gt;=1,"YES","NO")</f>
        <v>NO</v>
      </c>
      <c r="D106" s="3" t="str">
        <f aca="false">IF(COUNTIF(Final_CB_B2_V5!$C$2:$C$491,C106)&gt;=1,"YES","NO")</f>
        <v>NO</v>
      </c>
      <c r="G106" s="4"/>
      <c r="H106" s="4"/>
    </row>
    <row r="107" customFormat="false" ht="15.75" hidden="false" customHeight="false" outlineLevel="0" collapsed="false">
      <c r="B107" s="3" t="str">
        <f aca="false">IF(COUNTIF(Final_CB_B2_V5!$B$2:$B$491,A107)&gt;=1,"YES","NO")</f>
        <v>NO</v>
      </c>
      <c r="D107" s="3" t="str">
        <f aca="false">IF(COUNTIF(Final_CB_B2_V5!$C$2:$C$491,C107)&gt;=1,"YES","NO")</f>
        <v>NO</v>
      </c>
      <c r="G107" s="4"/>
      <c r="H107" s="4"/>
    </row>
    <row r="108" customFormat="false" ht="15.75" hidden="false" customHeight="false" outlineLevel="0" collapsed="false">
      <c r="B108" s="3" t="str">
        <f aca="false">IF(COUNTIF(Final_CB_B2_V5!$B$2:$B$491,A108)&gt;=1,"YES","NO")</f>
        <v>NO</v>
      </c>
      <c r="D108" s="3" t="str">
        <f aca="false">IF(COUNTIF(Final_CB_B2_V5!$C$2:$C$491,C108)&gt;=1,"YES","NO")</f>
        <v>NO</v>
      </c>
      <c r="G108" s="4"/>
      <c r="H108" s="4"/>
    </row>
    <row r="109" customFormat="false" ht="15.75" hidden="false" customHeight="false" outlineLevel="0" collapsed="false">
      <c r="B109" s="3" t="str">
        <f aca="false">IF(COUNTIF(Final_CB_B2_V5!$B$2:$B$491,A109)&gt;=1,"YES","NO")</f>
        <v>NO</v>
      </c>
      <c r="D109" s="3" t="str">
        <f aca="false">IF(COUNTIF(Final_CB_B2_V5!$C$2:$C$491,C109)&gt;=1,"YES","NO")</f>
        <v>NO</v>
      </c>
      <c r="G109" s="4"/>
      <c r="H109" s="4"/>
    </row>
    <row r="110" customFormat="false" ht="15.75" hidden="false" customHeight="false" outlineLevel="0" collapsed="false">
      <c r="B110" s="3" t="str">
        <f aca="false">IF(COUNTIF(Final_CB_B2_V5!$B$2:$B$491,A110)&gt;=1,"YES","NO")</f>
        <v>NO</v>
      </c>
      <c r="D110" s="3" t="str">
        <f aca="false">IF(COUNTIF(Final_CB_B2_V5!$C$2:$C$491,C110)&gt;=1,"YES","NO")</f>
        <v>NO</v>
      </c>
      <c r="G110" s="4"/>
      <c r="H110" s="4"/>
    </row>
    <row r="111" customFormat="false" ht="15.75" hidden="false" customHeight="false" outlineLevel="0" collapsed="false">
      <c r="B111" s="3" t="str">
        <f aca="false">IF(COUNTIF(Final_CB_B2_V5!$B$2:$B$491,A111)&gt;=1,"YES","NO")</f>
        <v>NO</v>
      </c>
      <c r="D111" s="3" t="str">
        <f aca="false">IF(COUNTIF(Final_CB_B2_V5!$C$2:$C$491,C111)&gt;=1,"YES","NO")</f>
        <v>NO</v>
      </c>
      <c r="G111" s="4"/>
      <c r="H111" s="4"/>
    </row>
    <row r="112" customFormat="false" ht="15.75" hidden="false" customHeight="false" outlineLevel="0" collapsed="false">
      <c r="B112" s="3" t="str">
        <f aca="false">IF(COUNTIF(Final_CB_B2_V5!$B$2:$B$491,A112)&gt;=1,"YES","NO")</f>
        <v>NO</v>
      </c>
      <c r="D112" s="3" t="str">
        <f aca="false">IF(COUNTIF(Final_CB_B2_V5!$C$2:$C$491,C112)&gt;=1,"YES","NO")</f>
        <v>NO</v>
      </c>
      <c r="G112" s="4"/>
      <c r="H112" s="4"/>
    </row>
    <row r="113" customFormat="false" ht="15.75" hidden="false" customHeight="false" outlineLevel="0" collapsed="false">
      <c r="B113" s="3" t="str">
        <f aca="false">IF(COUNTIF(Final_CB_B2_V5!$B$2:$B$491,A113)&gt;=1,"YES","NO")</f>
        <v>NO</v>
      </c>
      <c r="D113" s="3" t="str">
        <f aca="false">IF(COUNTIF(Final_CB_B2_V5!$C$2:$C$491,C113)&gt;=1,"YES","NO")</f>
        <v>NO</v>
      </c>
      <c r="G113" s="4"/>
      <c r="H113" s="4"/>
    </row>
    <row r="114" customFormat="false" ht="15.75" hidden="false" customHeight="false" outlineLevel="0" collapsed="false">
      <c r="B114" s="3" t="str">
        <f aca="false">IF(COUNTIF(Final_CB_B2_V5!$B$2:$B$491,A114)&gt;=1,"YES","NO")</f>
        <v>NO</v>
      </c>
      <c r="D114" s="3" t="str">
        <f aca="false">IF(COUNTIF(Final_CB_B2_V5!$C$2:$C$491,C114)&gt;=1,"YES","NO")</f>
        <v>NO</v>
      </c>
      <c r="G114" s="4"/>
      <c r="H114" s="4"/>
    </row>
    <row r="115" customFormat="false" ht="15.75" hidden="false" customHeight="false" outlineLevel="0" collapsed="false">
      <c r="B115" s="3" t="str">
        <f aca="false">IF(COUNTIF(Final_CB_B2_V5!$B$2:$B$491,A115)&gt;=1,"YES","NO")</f>
        <v>NO</v>
      </c>
      <c r="D115" s="3" t="str">
        <f aca="false">IF(COUNTIF(Final_CB_B2_V5!$C$2:$C$491,C115)&gt;=1,"YES","NO")</f>
        <v>NO</v>
      </c>
      <c r="G115" s="4"/>
      <c r="H115" s="4"/>
    </row>
    <row r="116" customFormat="false" ht="15.75" hidden="false" customHeight="false" outlineLevel="0" collapsed="false">
      <c r="B116" s="3" t="str">
        <f aca="false">IF(COUNTIF(Final_CB_B2_V5!$B$2:$B$491,A116)&gt;=1,"YES","NO")</f>
        <v>NO</v>
      </c>
      <c r="D116" s="3" t="str">
        <f aca="false">IF(COUNTIF(Final_CB_B2_V5!$C$2:$C$491,C116)&gt;=1,"YES","NO")</f>
        <v>NO</v>
      </c>
      <c r="G116" s="4"/>
      <c r="H116" s="4"/>
    </row>
    <row r="117" customFormat="false" ht="15.75" hidden="false" customHeight="false" outlineLevel="0" collapsed="false">
      <c r="B117" s="3" t="str">
        <f aca="false">IF(COUNTIF(Final_CB_B2_V5!$B$2:$B$491,A117)&gt;=1,"YES","NO")</f>
        <v>NO</v>
      </c>
      <c r="D117" s="3" t="str">
        <f aca="false">IF(COUNTIF(Final_CB_B2_V5!$C$2:$C$491,C117)&gt;=1,"YES","NO")</f>
        <v>NO</v>
      </c>
      <c r="G117" s="4"/>
      <c r="H117" s="4"/>
    </row>
    <row r="118" customFormat="false" ht="15.75" hidden="false" customHeight="false" outlineLevel="0" collapsed="false">
      <c r="B118" s="3" t="str">
        <f aca="false">IF(COUNTIF(Final_CB_B2_V5!$B$2:$B$491,A118)&gt;=1,"YES","NO")</f>
        <v>NO</v>
      </c>
      <c r="D118" s="3" t="str">
        <f aca="false">IF(COUNTIF(Final_CB_B2_V5!$C$2:$C$491,C118)&gt;=1,"YES","NO")</f>
        <v>NO</v>
      </c>
      <c r="G118" s="4"/>
      <c r="H118" s="4"/>
    </row>
    <row r="119" customFormat="false" ht="15.75" hidden="false" customHeight="false" outlineLevel="0" collapsed="false">
      <c r="B119" s="3" t="str">
        <f aca="false">IF(COUNTIF(Final_CB_B2_V5!$B$2:$B$491,A119)&gt;=1,"YES","NO")</f>
        <v>NO</v>
      </c>
      <c r="D119" s="3" t="str">
        <f aca="false">IF(COUNTIF(Final_CB_B2_V5!$C$2:$C$491,C119)&gt;=1,"YES","NO")</f>
        <v>NO</v>
      </c>
      <c r="G119" s="4"/>
      <c r="H119" s="4"/>
    </row>
    <row r="120" customFormat="false" ht="15.75" hidden="false" customHeight="false" outlineLevel="0" collapsed="false">
      <c r="B120" s="3" t="str">
        <f aca="false">IF(COUNTIF(Final_CB_B2_V5!$B$2:$B$491,A120)&gt;=1,"YES","NO")</f>
        <v>NO</v>
      </c>
      <c r="D120" s="3" t="str">
        <f aca="false">IF(COUNTIF(Final_CB_B2_V5!$C$2:$C$491,C120)&gt;=1,"YES","NO")</f>
        <v>NO</v>
      </c>
      <c r="G120" s="4"/>
      <c r="H120" s="4"/>
    </row>
    <row r="121" customFormat="false" ht="15.75" hidden="false" customHeight="false" outlineLevel="0" collapsed="false">
      <c r="B121" s="3" t="str">
        <f aca="false">IF(COUNTIF(Final_CB_B2_V5!$B$2:$B$491,A121)&gt;=1,"YES","NO")</f>
        <v>NO</v>
      </c>
      <c r="D121" s="3" t="str">
        <f aca="false">IF(COUNTIF(Final_CB_B2_V5!$C$2:$C$491,C121)&gt;=1,"YES","NO")</f>
        <v>NO</v>
      </c>
      <c r="G121" s="4"/>
      <c r="H121" s="4"/>
    </row>
    <row r="122" customFormat="false" ht="15.75" hidden="false" customHeight="false" outlineLevel="0" collapsed="false">
      <c r="B122" s="3" t="str">
        <f aca="false">IF(COUNTIF(Final_CB_B2_V5!$B$2:$B$491,A122)&gt;=1,"YES","NO")</f>
        <v>NO</v>
      </c>
      <c r="D122" s="3" t="str">
        <f aca="false">IF(COUNTIF(Final_CB_B2_V5!$C$2:$C$491,C122)&gt;=1,"YES","NO")</f>
        <v>NO</v>
      </c>
      <c r="G122" s="4"/>
      <c r="H122" s="4"/>
    </row>
    <row r="123" customFormat="false" ht="15.75" hidden="false" customHeight="false" outlineLevel="0" collapsed="false">
      <c r="B123" s="3" t="str">
        <f aca="false">IF(COUNTIF(Final_CB_B2_V5!$B$2:$B$491,A123)&gt;=1,"YES","NO")</f>
        <v>NO</v>
      </c>
      <c r="D123" s="3" t="str">
        <f aca="false">IF(COUNTIF(Final_CB_B2_V5!$C$2:$C$491,C123)&gt;=1,"YES","NO")</f>
        <v>NO</v>
      </c>
      <c r="G123" s="4"/>
      <c r="H123" s="4"/>
    </row>
    <row r="124" customFormat="false" ht="15.75" hidden="false" customHeight="false" outlineLevel="0" collapsed="false">
      <c r="B124" s="3" t="str">
        <f aca="false">IF(COUNTIF(Final_CB_B2_V5!$B$2:$B$491,A124)&gt;=1,"YES","NO")</f>
        <v>NO</v>
      </c>
      <c r="D124" s="3" t="str">
        <f aca="false">IF(COUNTIF(Final_CB_B2_V5!$C$2:$C$491,C124)&gt;=1,"YES","NO")</f>
        <v>NO</v>
      </c>
      <c r="G124" s="4"/>
      <c r="H124" s="4"/>
    </row>
    <row r="125" customFormat="false" ht="15.75" hidden="false" customHeight="false" outlineLevel="0" collapsed="false">
      <c r="B125" s="3" t="str">
        <f aca="false">IF(COUNTIF(Final_CB_B2_V5!$B$2:$B$491,A125)&gt;=1,"YES","NO")</f>
        <v>NO</v>
      </c>
      <c r="D125" s="3" t="str">
        <f aca="false">IF(COUNTIF(Final_CB_B2_V5!$C$2:$C$491,C125)&gt;=1,"YES","NO")</f>
        <v>NO</v>
      </c>
      <c r="G125" s="4"/>
      <c r="H125" s="4"/>
    </row>
    <row r="126" customFormat="false" ht="15.75" hidden="false" customHeight="false" outlineLevel="0" collapsed="false">
      <c r="B126" s="3" t="str">
        <f aca="false">IF(COUNTIF(Final_CB_B2_V5!$B$2:$B$491,A126)&gt;=1,"YES","NO")</f>
        <v>NO</v>
      </c>
      <c r="D126" s="3" t="str">
        <f aca="false">IF(COUNTIF(Final_CB_B2_V5!$C$2:$C$491,C126)&gt;=1,"YES","NO")</f>
        <v>NO</v>
      </c>
      <c r="G126" s="4"/>
      <c r="H126" s="4"/>
    </row>
    <row r="127" customFormat="false" ht="15.75" hidden="false" customHeight="false" outlineLevel="0" collapsed="false">
      <c r="B127" s="3" t="str">
        <f aca="false">IF(COUNTIF(Final_CB_B2_V5!$B$2:$B$491,A127)&gt;=1,"YES","NO")</f>
        <v>NO</v>
      </c>
      <c r="D127" s="3" t="str">
        <f aca="false">IF(COUNTIF(Final_CB_B2_V5!$C$2:$C$491,C127)&gt;=1,"YES","NO")</f>
        <v>NO</v>
      </c>
      <c r="G127" s="4"/>
      <c r="H127" s="4"/>
    </row>
    <row r="128" customFormat="false" ht="15.75" hidden="false" customHeight="false" outlineLevel="0" collapsed="false">
      <c r="B128" s="3" t="str">
        <f aca="false">IF(COUNTIF(Final_CB_B2_V5!$B$2:$B$491,A128)&gt;=1,"YES","NO")</f>
        <v>NO</v>
      </c>
      <c r="D128" s="3" t="str">
        <f aca="false">IF(COUNTIF(Final_CB_B2_V5!$C$2:$C$491,C128)&gt;=1,"YES","NO")</f>
        <v>NO</v>
      </c>
      <c r="G128" s="4"/>
      <c r="H128" s="4"/>
    </row>
    <row r="129" customFormat="false" ht="15.75" hidden="false" customHeight="false" outlineLevel="0" collapsed="false">
      <c r="B129" s="3" t="str">
        <f aca="false">IF(COUNTIF(Final_CB_B2_V5!$B$2:$B$491,A129)&gt;=1,"YES","NO")</f>
        <v>NO</v>
      </c>
      <c r="D129" s="3" t="str">
        <f aca="false">IF(COUNTIF(Final_CB_B2_V5!$C$2:$C$491,C129)&gt;=1,"YES","NO")</f>
        <v>NO</v>
      </c>
      <c r="G129" s="4"/>
      <c r="H129" s="4"/>
    </row>
    <row r="130" customFormat="false" ht="15.75" hidden="false" customHeight="false" outlineLevel="0" collapsed="false">
      <c r="B130" s="3" t="str">
        <f aca="false">IF(COUNTIF(Final_CB_B2_V5!$B$2:$B$491,A130)&gt;=1,"YES","NO")</f>
        <v>NO</v>
      </c>
      <c r="D130" s="3" t="str">
        <f aca="false">IF(COUNTIF(Final_CB_B2_V5!$C$2:$C$491,C130)&gt;=1,"YES","NO")</f>
        <v>NO</v>
      </c>
      <c r="G130" s="4"/>
      <c r="H130" s="4"/>
    </row>
    <row r="131" customFormat="false" ht="15.75" hidden="false" customHeight="false" outlineLevel="0" collapsed="false">
      <c r="B131" s="3" t="str">
        <f aca="false">IF(COUNTIF(Final_CB_B2_V5!$B$2:$B$491,A131)&gt;=1,"YES","NO")</f>
        <v>NO</v>
      </c>
      <c r="D131" s="3" t="str">
        <f aca="false">IF(COUNTIF(Final_CB_B2_V5!$C$2:$C$491,C131)&gt;=1,"YES","NO")</f>
        <v>NO</v>
      </c>
      <c r="G131" s="4"/>
      <c r="H131" s="4"/>
    </row>
    <row r="132" customFormat="false" ht="15.75" hidden="false" customHeight="false" outlineLevel="0" collapsed="false">
      <c r="B132" s="3" t="str">
        <f aca="false">IF(COUNTIF(Final_CB_B2_V5!$B$2:$B$491,A132)&gt;=1,"YES","NO")</f>
        <v>NO</v>
      </c>
      <c r="D132" s="3" t="str">
        <f aca="false">IF(COUNTIF(Final_CB_B2_V5!$C$2:$C$491,C132)&gt;=1,"YES","NO")</f>
        <v>NO</v>
      </c>
      <c r="G132" s="4"/>
      <c r="H132" s="4"/>
    </row>
    <row r="133" customFormat="false" ht="15.75" hidden="false" customHeight="false" outlineLevel="0" collapsed="false">
      <c r="B133" s="3" t="str">
        <f aca="false">IF(COUNTIF(Final_CB_B2_V5!$B$2:$B$491,A133)&gt;=1,"YES","NO")</f>
        <v>NO</v>
      </c>
      <c r="D133" s="3" t="str">
        <f aca="false">IF(COUNTIF(Final_CB_B2_V5!$C$2:$C$491,C133)&gt;=1,"YES","NO")</f>
        <v>NO</v>
      </c>
      <c r="G133" s="4"/>
      <c r="H133" s="4"/>
    </row>
    <row r="134" customFormat="false" ht="15.75" hidden="false" customHeight="false" outlineLevel="0" collapsed="false">
      <c r="B134" s="3" t="str">
        <f aca="false">IF(COUNTIF(Final_CB_B2_V5!$B$2:$B$491,A134)&gt;=1,"YES","NO")</f>
        <v>NO</v>
      </c>
      <c r="D134" s="3" t="str">
        <f aca="false">IF(COUNTIF(Final_CB_B2_V5!$C$2:$C$491,C134)&gt;=1,"YES","NO")</f>
        <v>NO</v>
      </c>
      <c r="G134" s="4"/>
      <c r="H134" s="4"/>
    </row>
    <row r="135" customFormat="false" ht="15.75" hidden="false" customHeight="false" outlineLevel="0" collapsed="false">
      <c r="B135" s="3" t="str">
        <f aca="false">IF(COUNTIF(Final_CB_B2_V5!$B$2:$B$491,A135)&gt;=1,"YES","NO")</f>
        <v>NO</v>
      </c>
      <c r="D135" s="3" t="str">
        <f aca="false">IF(COUNTIF(Final_CB_B2_V5!$C$2:$C$491,C135)&gt;=1,"YES","NO")</f>
        <v>NO</v>
      </c>
      <c r="G135" s="4"/>
      <c r="H135" s="4"/>
    </row>
    <row r="136" customFormat="false" ht="15.75" hidden="false" customHeight="false" outlineLevel="0" collapsed="false">
      <c r="B136" s="3" t="str">
        <f aca="false">IF(COUNTIF(Final_CB_B2_V5!$B$2:$B$491,A136)&gt;=1,"YES","NO")</f>
        <v>NO</v>
      </c>
      <c r="D136" s="3" t="str">
        <f aca="false">IF(COUNTIF(Final_CB_B2_V5!$C$2:$C$491,C136)&gt;=1,"YES","NO")</f>
        <v>NO</v>
      </c>
      <c r="G136" s="4"/>
      <c r="H136" s="4"/>
    </row>
    <row r="137" customFormat="false" ht="15.75" hidden="false" customHeight="false" outlineLevel="0" collapsed="false">
      <c r="B137" s="3" t="str">
        <f aca="false">IF(COUNTIF(Final_CB_B2_V5!$B$2:$B$491,A137)&gt;=1,"YES","NO")</f>
        <v>NO</v>
      </c>
      <c r="D137" s="3" t="str">
        <f aca="false">IF(COUNTIF(Final_CB_B2_V5!$C$2:$C$491,C137)&gt;=1,"YES","NO")</f>
        <v>NO</v>
      </c>
      <c r="G137" s="4"/>
      <c r="H137" s="4"/>
    </row>
    <row r="138" customFormat="false" ht="15.75" hidden="false" customHeight="false" outlineLevel="0" collapsed="false">
      <c r="B138" s="3" t="str">
        <f aca="false">IF(COUNTIF(Final_CB_B2_V5!$B$2:$B$491,A138)&gt;=1,"YES","NO")</f>
        <v>NO</v>
      </c>
      <c r="D138" s="3" t="str">
        <f aca="false">IF(COUNTIF(Final_CB_B2_V5!$C$2:$C$491,C138)&gt;=1,"YES","NO")</f>
        <v>NO</v>
      </c>
      <c r="G138" s="4"/>
      <c r="H138" s="4"/>
    </row>
    <row r="139" customFormat="false" ht="15.75" hidden="false" customHeight="false" outlineLevel="0" collapsed="false">
      <c r="B139" s="3" t="str">
        <f aca="false">IF(COUNTIF(Final_CB_B2_V5!$B$2:$B$491,A139)&gt;=1,"YES","NO")</f>
        <v>NO</v>
      </c>
      <c r="D139" s="3" t="str">
        <f aca="false">IF(COUNTIF(Final_CB_B2_V5!$C$2:$C$491,C139)&gt;=1,"YES","NO")</f>
        <v>NO</v>
      </c>
      <c r="G139" s="4"/>
      <c r="H139" s="4"/>
    </row>
    <row r="140" customFormat="false" ht="15.75" hidden="false" customHeight="false" outlineLevel="0" collapsed="false">
      <c r="B140" s="3" t="str">
        <f aca="false">IF(COUNTIF(Final_CB_B2_V5!$B$2:$B$491,A140)&gt;=1,"YES","NO")</f>
        <v>NO</v>
      </c>
      <c r="D140" s="3" t="str">
        <f aca="false">IF(COUNTIF(Final_CB_B2_V5!$C$2:$C$491,C140)&gt;=1,"YES","NO")</f>
        <v>NO</v>
      </c>
      <c r="G140" s="4"/>
      <c r="H140" s="4"/>
    </row>
    <row r="141" customFormat="false" ht="15.75" hidden="false" customHeight="false" outlineLevel="0" collapsed="false">
      <c r="B141" s="3" t="str">
        <f aca="false">IF(COUNTIF(Final_CB_B2_V5!$B$2:$B$491,A141)&gt;=1,"YES","NO")</f>
        <v>NO</v>
      </c>
      <c r="D141" s="3" t="str">
        <f aca="false">IF(COUNTIF(Final_CB_B2_V5!$C$2:$C$491,C141)&gt;=1,"YES","NO")</f>
        <v>NO</v>
      </c>
      <c r="G141" s="4"/>
      <c r="H141" s="4"/>
    </row>
    <row r="142" customFormat="false" ht="15.75" hidden="false" customHeight="false" outlineLevel="0" collapsed="false">
      <c r="B142" s="3" t="str">
        <f aca="false">IF(COUNTIF(Final_CB_B2_V5!$B$2:$B$491,A142)&gt;=1,"YES","NO")</f>
        <v>NO</v>
      </c>
      <c r="D142" s="3" t="str">
        <f aca="false">IF(COUNTIF(Final_CB_B2_V5!$C$2:$C$491,C142)&gt;=1,"YES","NO")</f>
        <v>NO</v>
      </c>
      <c r="G142" s="4"/>
      <c r="H142" s="4"/>
    </row>
    <row r="143" customFormat="false" ht="15.75" hidden="false" customHeight="false" outlineLevel="0" collapsed="false">
      <c r="B143" s="3" t="str">
        <f aca="false">IF(COUNTIF(Final_CB_B2_V5!$B$2:$B$491,A143)&gt;=1,"YES","NO")</f>
        <v>NO</v>
      </c>
      <c r="D143" s="3" t="str">
        <f aca="false">IF(COUNTIF(Final_CB_B2_V5!$C$2:$C$491,C143)&gt;=1,"YES","NO")</f>
        <v>NO</v>
      </c>
      <c r="G143" s="4"/>
      <c r="H143" s="4"/>
    </row>
    <row r="144" customFormat="false" ht="15.75" hidden="false" customHeight="false" outlineLevel="0" collapsed="false">
      <c r="B144" s="3" t="str">
        <f aca="false">IF(COUNTIF(Final_CB_B2_V5!$B$2:$B$491,A144)&gt;=1,"YES","NO")</f>
        <v>NO</v>
      </c>
      <c r="D144" s="3" t="str">
        <f aca="false">IF(COUNTIF(Final_CB_B2_V5!$C$2:$C$491,C144)&gt;=1,"YES","NO")</f>
        <v>NO</v>
      </c>
      <c r="G144" s="4"/>
      <c r="H144" s="4"/>
    </row>
    <row r="145" customFormat="false" ht="15.75" hidden="false" customHeight="false" outlineLevel="0" collapsed="false">
      <c r="B145" s="3" t="str">
        <f aca="false">IF(COUNTIF(Final_CB_B2_V5!$B$2:$B$491,A145)&gt;=1,"YES","NO")</f>
        <v>NO</v>
      </c>
      <c r="D145" s="3" t="str">
        <f aca="false">IF(COUNTIF(Final_CB_B2_V5!$C$2:$C$491,C145)&gt;=1,"YES","NO")</f>
        <v>NO</v>
      </c>
      <c r="G145" s="4"/>
      <c r="H145" s="4"/>
    </row>
    <row r="146" customFormat="false" ht="15.75" hidden="false" customHeight="false" outlineLevel="0" collapsed="false">
      <c r="B146" s="3" t="str">
        <f aca="false">IF(COUNTIF(Final_CB_B2_V5!$B$2:$B$491,A146)&gt;=1,"YES","NO")</f>
        <v>NO</v>
      </c>
      <c r="D146" s="3" t="str">
        <f aca="false">IF(COUNTIF(Final_CB_B2_V5!$C$2:$C$491,C146)&gt;=1,"YES","NO")</f>
        <v>NO</v>
      </c>
      <c r="G146" s="4"/>
      <c r="H146" s="4"/>
    </row>
    <row r="147" customFormat="false" ht="15.75" hidden="false" customHeight="false" outlineLevel="0" collapsed="false">
      <c r="B147" s="3" t="str">
        <f aca="false">IF(COUNTIF(Final_CB_B2_V5!$B$2:$B$491,A147)&gt;=1,"YES","NO")</f>
        <v>NO</v>
      </c>
      <c r="D147" s="3" t="str">
        <f aca="false">IF(COUNTIF(Final_CB_B2_V5!$C$2:$C$491,C147)&gt;=1,"YES","NO")</f>
        <v>NO</v>
      </c>
      <c r="G147" s="4"/>
      <c r="H147" s="4"/>
    </row>
    <row r="148" customFormat="false" ht="15.75" hidden="false" customHeight="false" outlineLevel="0" collapsed="false">
      <c r="B148" s="3" t="str">
        <f aca="false">IF(COUNTIF(Final_CB_B2_V5!$B$2:$B$491,A148)&gt;=1,"YES","NO")</f>
        <v>NO</v>
      </c>
      <c r="D148" s="3" t="str">
        <f aca="false">IF(COUNTIF(Final_CB_B2_V5!$C$2:$C$491,C148)&gt;=1,"YES","NO")</f>
        <v>NO</v>
      </c>
      <c r="G148" s="4"/>
      <c r="H148" s="4"/>
    </row>
    <row r="149" customFormat="false" ht="15.75" hidden="false" customHeight="false" outlineLevel="0" collapsed="false">
      <c r="B149" s="3" t="str">
        <f aca="false">IF(COUNTIF(Final_CB_B2_V5!$B$2:$B$491,A149)&gt;=1,"YES","NO")</f>
        <v>NO</v>
      </c>
      <c r="D149" s="3" t="str">
        <f aca="false">IF(COUNTIF(Final_CB_B2_V5!$C$2:$C$491,C149)&gt;=1,"YES","NO")</f>
        <v>NO</v>
      </c>
      <c r="G149" s="4"/>
      <c r="H149" s="4"/>
    </row>
    <row r="150" customFormat="false" ht="15.75" hidden="false" customHeight="false" outlineLevel="0" collapsed="false">
      <c r="B150" s="3" t="str">
        <f aca="false">IF(COUNTIF(Final_CB_B2_V5!$B$2:$B$491,A150)&gt;=1,"YES","NO")</f>
        <v>NO</v>
      </c>
      <c r="D150" s="3" t="str">
        <f aca="false">IF(COUNTIF(Final_CB_B2_V5!$C$2:$C$491,C150)&gt;=1,"YES","NO")</f>
        <v>NO</v>
      </c>
      <c r="G150" s="4"/>
      <c r="H150" s="4"/>
    </row>
    <row r="151" customFormat="false" ht="15.75" hidden="false" customHeight="false" outlineLevel="0" collapsed="false">
      <c r="B151" s="3" t="str">
        <f aca="false">IF(COUNTIF(Final_CB_B2_V5!$B$2:$B$491,A151)&gt;=1,"YES","NO")</f>
        <v>NO</v>
      </c>
      <c r="D151" s="3" t="str">
        <f aca="false">IF(COUNTIF(Final_CB_B2_V5!$C$2:$C$491,C151)&gt;=1,"YES","NO")</f>
        <v>NO</v>
      </c>
      <c r="G151" s="4"/>
      <c r="H151" s="4"/>
    </row>
    <row r="152" customFormat="false" ht="15.75" hidden="false" customHeight="false" outlineLevel="0" collapsed="false">
      <c r="B152" s="3" t="str">
        <f aca="false">IF(COUNTIF(Final_CB_B2_V5!$B$2:$B$491,A152)&gt;=1,"YES","NO")</f>
        <v>NO</v>
      </c>
      <c r="D152" s="3" t="str">
        <f aca="false">IF(COUNTIF(Final_CB_B2_V5!$C$2:$C$491,C152)&gt;=1,"YES","NO")</f>
        <v>NO</v>
      </c>
      <c r="G152" s="4"/>
      <c r="H152" s="4"/>
    </row>
    <row r="153" customFormat="false" ht="15.75" hidden="false" customHeight="false" outlineLevel="0" collapsed="false">
      <c r="B153" s="3" t="str">
        <f aca="false">IF(COUNTIF(Final_CB_B2_V5!$B$2:$B$491,A153)&gt;=1,"YES","NO")</f>
        <v>NO</v>
      </c>
      <c r="D153" s="3" t="str">
        <f aca="false">IF(COUNTIF(Final_CB_B2_V5!$C$2:$C$491,C153)&gt;=1,"YES","NO")</f>
        <v>NO</v>
      </c>
      <c r="G153" s="4"/>
      <c r="H153" s="4"/>
    </row>
    <row r="154" customFormat="false" ht="15.75" hidden="false" customHeight="false" outlineLevel="0" collapsed="false">
      <c r="B154" s="3" t="str">
        <f aca="false">IF(COUNTIF(Final_CB_B2_V5!$B$2:$B$491,A154)&gt;=1,"YES","NO")</f>
        <v>NO</v>
      </c>
      <c r="D154" s="3" t="str">
        <f aca="false">IF(COUNTIF(Final_CB_B2_V5!$C$2:$C$491,C154)&gt;=1,"YES","NO")</f>
        <v>NO</v>
      </c>
      <c r="G154" s="4"/>
      <c r="H154" s="4"/>
    </row>
    <row r="155" customFormat="false" ht="15.75" hidden="false" customHeight="false" outlineLevel="0" collapsed="false">
      <c r="B155" s="3" t="str">
        <f aca="false">IF(COUNTIF(Final_CB_B2_V5!$B$2:$B$491,A155)&gt;=1,"YES","NO")</f>
        <v>NO</v>
      </c>
      <c r="D155" s="3" t="str">
        <f aca="false">IF(COUNTIF(Final_CB_B2_V5!$C$2:$C$491,C155)&gt;=1,"YES","NO")</f>
        <v>NO</v>
      </c>
      <c r="G155" s="4"/>
      <c r="H155" s="4"/>
    </row>
    <row r="156" customFormat="false" ht="15.75" hidden="false" customHeight="false" outlineLevel="0" collapsed="false">
      <c r="B156" s="3" t="str">
        <f aca="false">IF(COUNTIF(Final_CB_B2_V5!$B$2:$B$491,A156)&gt;=1,"YES","NO")</f>
        <v>NO</v>
      </c>
      <c r="D156" s="3" t="str">
        <f aca="false">IF(COUNTIF(Final_CB_B2_V5!$C$2:$C$491,C156)&gt;=1,"YES","NO")</f>
        <v>NO</v>
      </c>
      <c r="G156" s="4"/>
      <c r="H156" s="4"/>
    </row>
    <row r="157" customFormat="false" ht="15.75" hidden="false" customHeight="false" outlineLevel="0" collapsed="false">
      <c r="B157" s="3" t="str">
        <f aca="false">IF(COUNTIF(Final_CB_B2_V5!$B$2:$B$491,A157)&gt;=1,"YES","NO")</f>
        <v>NO</v>
      </c>
      <c r="D157" s="3" t="str">
        <f aca="false">IF(COUNTIF(Final_CB_B2_V5!$C$2:$C$491,C157)&gt;=1,"YES","NO")</f>
        <v>NO</v>
      </c>
      <c r="G157" s="4"/>
      <c r="H157" s="4"/>
    </row>
    <row r="158" customFormat="false" ht="15.75" hidden="false" customHeight="false" outlineLevel="0" collapsed="false">
      <c r="B158" s="3" t="str">
        <f aca="false">IF(COUNTIF(Final_CB_B2_V5!$B$2:$B$491,A158)&gt;=1,"YES","NO")</f>
        <v>NO</v>
      </c>
      <c r="D158" s="3" t="str">
        <f aca="false">IF(COUNTIF(Final_CB_B2_V5!$C$2:$C$491,C158)&gt;=1,"YES","NO")</f>
        <v>NO</v>
      </c>
      <c r="G158" s="4"/>
      <c r="H158" s="4"/>
    </row>
    <row r="159" customFormat="false" ht="15.75" hidden="false" customHeight="false" outlineLevel="0" collapsed="false">
      <c r="B159" s="3" t="str">
        <f aca="false">IF(COUNTIF(Final_CB_B2_V5!$B$2:$B$491,A159)&gt;=1,"YES","NO")</f>
        <v>NO</v>
      </c>
      <c r="D159" s="3" t="str">
        <f aca="false">IF(COUNTIF(Final_CB_B2_V5!$C$2:$C$491,C159)&gt;=1,"YES","NO")</f>
        <v>NO</v>
      </c>
      <c r="G159" s="4"/>
      <c r="H159" s="4"/>
    </row>
    <row r="160" customFormat="false" ht="15.75" hidden="false" customHeight="false" outlineLevel="0" collapsed="false">
      <c r="B160" s="3" t="str">
        <f aca="false">IF(COUNTIF(Final_CB_B2_V5!$B$2:$B$491,A160)&gt;=1,"YES","NO")</f>
        <v>NO</v>
      </c>
      <c r="D160" s="3" t="str">
        <f aca="false">IF(COUNTIF(Final_CB_B2_V5!$C$2:$C$491,C160)&gt;=1,"YES","NO")</f>
        <v>NO</v>
      </c>
      <c r="G160" s="4"/>
      <c r="H160" s="4"/>
    </row>
    <row r="161" customFormat="false" ht="15.75" hidden="false" customHeight="false" outlineLevel="0" collapsed="false">
      <c r="B161" s="3" t="str">
        <f aca="false">IF(COUNTIF(Final_CB_B2_V5!$B$2:$B$491,A161)&gt;=1,"YES","NO")</f>
        <v>NO</v>
      </c>
      <c r="D161" s="3" t="str">
        <f aca="false">IF(COUNTIF(Final_CB_B2_V5!$C$2:$C$491,C161)&gt;=1,"YES","NO")</f>
        <v>NO</v>
      </c>
      <c r="G161" s="4"/>
      <c r="H161" s="4"/>
    </row>
    <row r="162" customFormat="false" ht="15.75" hidden="false" customHeight="false" outlineLevel="0" collapsed="false">
      <c r="B162" s="3" t="str">
        <f aca="false">IF(COUNTIF(Final_CB_B2_V5!$B$2:$B$491,A162)&gt;=1,"YES","NO")</f>
        <v>NO</v>
      </c>
      <c r="D162" s="3" t="str">
        <f aca="false">IF(COUNTIF(Final_CB_B2_V5!$C$2:$C$491,C162)&gt;=1,"YES","NO")</f>
        <v>NO</v>
      </c>
      <c r="G162" s="4"/>
      <c r="H162" s="4"/>
    </row>
    <row r="163" customFormat="false" ht="15.75" hidden="false" customHeight="false" outlineLevel="0" collapsed="false">
      <c r="B163" s="3" t="str">
        <f aca="false">IF(COUNTIF(Final_CB_B2_V5!$B$2:$B$491,A163)&gt;=1,"YES","NO")</f>
        <v>NO</v>
      </c>
      <c r="D163" s="3" t="str">
        <f aca="false">IF(COUNTIF(Final_CB_B2_V5!$C$2:$C$491,C163)&gt;=1,"YES","NO")</f>
        <v>NO</v>
      </c>
      <c r="G163" s="4"/>
      <c r="H163" s="4"/>
    </row>
    <row r="164" customFormat="false" ht="15.75" hidden="false" customHeight="false" outlineLevel="0" collapsed="false">
      <c r="B164" s="3" t="str">
        <f aca="false">IF(COUNTIF(Final_CB_B2_V5!$B$2:$B$491,A164)&gt;=1,"YES","NO")</f>
        <v>NO</v>
      </c>
      <c r="D164" s="3" t="str">
        <f aca="false">IF(COUNTIF(Final_CB_B2_V5!$C$2:$C$491,C164)&gt;=1,"YES","NO")</f>
        <v>NO</v>
      </c>
      <c r="G164" s="4"/>
      <c r="H164" s="4"/>
    </row>
    <row r="165" customFormat="false" ht="15.75" hidden="false" customHeight="false" outlineLevel="0" collapsed="false">
      <c r="B165" s="3" t="str">
        <f aca="false">IF(COUNTIF(Final_CB_B2_V5!$B$2:$B$491,A165)&gt;=1,"YES","NO")</f>
        <v>NO</v>
      </c>
      <c r="D165" s="3" t="str">
        <f aca="false">IF(COUNTIF(Final_CB_B2_V5!$C$2:$C$491,C165)&gt;=1,"YES","NO")</f>
        <v>NO</v>
      </c>
      <c r="G165" s="4"/>
      <c r="H165" s="4"/>
    </row>
    <row r="166" customFormat="false" ht="15.75" hidden="false" customHeight="false" outlineLevel="0" collapsed="false">
      <c r="B166" s="3" t="str">
        <f aca="false">IF(COUNTIF(Final_CB_B2_V5!$B$2:$B$491,A166)&gt;=1,"YES","NO")</f>
        <v>NO</v>
      </c>
      <c r="D166" s="3" t="str">
        <f aca="false">IF(COUNTIF(Final_CB_B2_V5!$C$2:$C$491,C166)&gt;=1,"YES","NO")</f>
        <v>NO</v>
      </c>
      <c r="G166" s="4"/>
      <c r="H166" s="4"/>
    </row>
    <row r="167" customFormat="false" ht="15.75" hidden="false" customHeight="false" outlineLevel="0" collapsed="false">
      <c r="B167" s="3" t="str">
        <f aca="false">IF(COUNTIF(Final_CB_B2_V5!$B$2:$B$491,A167)&gt;=1,"YES","NO")</f>
        <v>NO</v>
      </c>
      <c r="D167" s="3" t="str">
        <f aca="false">IF(COUNTIF(Final_CB_B2_V5!$C$2:$C$491,C167)&gt;=1,"YES","NO")</f>
        <v>NO</v>
      </c>
      <c r="G167" s="4"/>
      <c r="H167" s="4"/>
    </row>
    <row r="168" customFormat="false" ht="15.75" hidden="false" customHeight="false" outlineLevel="0" collapsed="false">
      <c r="B168" s="3" t="str">
        <f aca="false">IF(COUNTIF(Final_CB_B2_V5!$B$2:$B$491,A168)&gt;=1,"YES","NO")</f>
        <v>NO</v>
      </c>
      <c r="D168" s="3" t="str">
        <f aca="false">IF(COUNTIF(Final_CB_B2_V5!$C$2:$C$491,C168)&gt;=1,"YES","NO")</f>
        <v>NO</v>
      </c>
      <c r="G168" s="4"/>
      <c r="H168" s="4"/>
    </row>
    <row r="169" customFormat="false" ht="15.75" hidden="false" customHeight="false" outlineLevel="0" collapsed="false">
      <c r="B169" s="3" t="str">
        <f aca="false">IF(COUNTIF(Final_CB_B2_V5!$B$2:$B$491,A169)&gt;=1,"YES","NO")</f>
        <v>NO</v>
      </c>
      <c r="D169" s="3" t="str">
        <f aca="false">IF(COUNTIF(Final_CB_B2_V5!$C$2:$C$491,C169)&gt;=1,"YES","NO")</f>
        <v>NO</v>
      </c>
      <c r="G169" s="4"/>
      <c r="H169" s="4"/>
    </row>
    <row r="170" customFormat="false" ht="15.75" hidden="false" customHeight="false" outlineLevel="0" collapsed="false">
      <c r="B170" s="3" t="str">
        <f aca="false">IF(COUNTIF(Final_CB_B2_V5!$B$2:$B$491,A170)&gt;=1,"YES","NO")</f>
        <v>NO</v>
      </c>
      <c r="D170" s="3" t="str">
        <f aca="false">IF(COUNTIF(Final_CB_B2_V5!$C$2:$C$491,C170)&gt;=1,"YES","NO")</f>
        <v>NO</v>
      </c>
      <c r="G170" s="4"/>
      <c r="H170" s="4"/>
    </row>
    <row r="171" customFormat="false" ht="15.75" hidden="false" customHeight="false" outlineLevel="0" collapsed="false">
      <c r="B171" s="3" t="str">
        <f aca="false">IF(COUNTIF(Final_CB_B2_V5!$B$2:$B$491,A171)&gt;=1,"YES","NO")</f>
        <v>NO</v>
      </c>
      <c r="D171" s="3" t="str">
        <f aca="false">IF(COUNTIF(Final_CB_B2_V5!$C$2:$C$491,C171)&gt;=1,"YES","NO")</f>
        <v>NO</v>
      </c>
      <c r="G171" s="4"/>
      <c r="H171" s="4"/>
    </row>
    <row r="172" customFormat="false" ht="15.75" hidden="false" customHeight="false" outlineLevel="0" collapsed="false">
      <c r="B172" s="3" t="str">
        <f aca="false">IF(COUNTIF(Final_CB_B2_V5!$B$2:$B$491,A172)&gt;=1,"YES","NO")</f>
        <v>NO</v>
      </c>
      <c r="D172" s="3" t="str">
        <f aca="false">IF(COUNTIF(Final_CB_B2_V5!$C$2:$C$491,C172)&gt;=1,"YES","NO")</f>
        <v>NO</v>
      </c>
      <c r="G172" s="4"/>
      <c r="H172" s="4"/>
    </row>
    <row r="173" customFormat="false" ht="15.75" hidden="false" customHeight="false" outlineLevel="0" collapsed="false">
      <c r="B173" s="3" t="str">
        <f aca="false">IF(COUNTIF(Final_CB_B2_V5!$B$2:$B$491,A173)&gt;=1,"YES","NO")</f>
        <v>NO</v>
      </c>
      <c r="D173" s="3" t="str">
        <f aca="false">IF(COUNTIF(Final_CB_B2_V5!$C$2:$C$491,C173)&gt;=1,"YES","NO")</f>
        <v>NO</v>
      </c>
      <c r="G173" s="4"/>
      <c r="H173" s="4"/>
    </row>
    <row r="174" customFormat="false" ht="15.75" hidden="false" customHeight="false" outlineLevel="0" collapsed="false">
      <c r="B174" s="3" t="str">
        <f aca="false">IF(COUNTIF(Final_CB_B2_V5!$B$2:$B$491,A174)&gt;=1,"YES","NO")</f>
        <v>NO</v>
      </c>
      <c r="D174" s="3" t="str">
        <f aca="false">IF(COUNTIF(Final_CB_B2_V5!$C$2:$C$491,C174)&gt;=1,"YES","NO")</f>
        <v>NO</v>
      </c>
      <c r="G174" s="4"/>
      <c r="H174" s="4"/>
    </row>
    <row r="175" customFormat="false" ht="15.75" hidden="false" customHeight="false" outlineLevel="0" collapsed="false">
      <c r="B175" s="3" t="str">
        <f aca="false">IF(COUNTIF(Final_CB_B2_V5!$B$2:$B$491,A175)&gt;=1,"YES","NO")</f>
        <v>NO</v>
      </c>
      <c r="D175" s="3" t="str">
        <f aca="false">IF(COUNTIF(Final_CB_B2_V5!$C$2:$C$491,C175)&gt;=1,"YES","NO")</f>
        <v>NO</v>
      </c>
      <c r="G175" s="4"/>
      <c r="H175" s="4"/>
    </row>
    <row r="176" customFormat="false" ht="15.75" hidden="false" customHeight="false" outlineLevel="0" collapsed="false">
      <c r="B176" s="3" t="str">
        <f aca="false">IF(COUNTIF(Final_CB_B2_V5!$B$2:$B$491,A176)&gt;=1,"YES","NO")</f>
        <v>NO</v>
      </c>
      <c r="D176" s="3" t="str">
        <f aca="false">IF(COUNTIF(Final_CB_B2_V5!$C$2:$C$491,C176)&gt;=1,"YES","NO")</f>
        <v>NO</v>
      </c>
      <c r="G176" s="4"/>
      <c r="H176" s="4"/>
    </row>
    <row r="177" customFormat="false" ht="15.75" hidden="false" customHeight="false" outlineLevel="0" collapsed="false">
      <c r="B177" s="3" t="str">
        <f aca="false">IF(COUNTIF(Final_CB_B2_V5!$B$2:$B$491,A177)&gt;=1,"YES","NO")</f>
        <v>NO</v>
      </c>
      <c r="D177" s="3" t="str">
        <f aca="false">IF(COUNTIF(Final_CB_B2_V5!$C$2:$C$491,C177)&gt;=1,"YES","NO")</f>
        <v>NO</v>
      </c>
      <c r="G177" s="4"/>
      <c r="H177" s="4"/>
    </row>
    <row r="178" customFormat="false" ht="15.75" hidden="false" customHeight="false" outlineLevel="0" collapsed="false">
      <c r="B178" s="3" t="str">
        <f aca="false">IF(COUNTIF(Final_CB_B2_V5!$B$2:$B$491,A178)&gt;=1,"YES","NO")</f>
        <v>NO</v>
      </c>
      <c r="D178" s="3" t="str">
        <f aca="false">IF(COUNTIF(Final_CB_B2_V5!$C$2:$C$491,C178)&gt;=1,"YES","NO")</f>
        <v>NO</v>
      </c>
      <c r="G178" s="4"/>
      <c r="H178" s="4"/>
    </row>
    <row r="179" customFormat="false" ht="15.75" hidden="false" customHeight="false" outlineLevel="0" collapsed="false">
      <c r="B179" s="3" t="str">
        <f aca="false">IF(COUNTIF(Final_CB_B2_V5!$B$2:$B$491,A179)&gt;=1,"YES","NO")</f>
        <v>NO</v>
      </c>
      <c r="D179" s="3" t="str">
        <f aca="false">IF(COUNTIF(Final_CB_B2_V5!$C$2:$C$491,C179)&gt;=1,"YES","NO")</f>
        <v>NO</v>
      </c>
      <c r="G179" s="4"/>
      <c r="H179" s="4"/>
    </row>
    <row r="180" customFormat="false" ht="15.75" hidden="false" customHeight="false" outlineLevel="0" collapsed="false">
      <c r="B180" s="3" t="str">
        <f aca="false">IF(COUNTIF(Final_CB_B2_V5!$B$2:$B$491,A180)&gt;=1,"YES","NO")</f>
        <v>NO</v>
      </c>
      <c r="D180" s="3" t="str">
        <f aca="false">IF(COUNTIF(Final_CB_B2_V5!$C$2:$C$491,C180)&gt;=1,"YES","NO")</f>
        <v>NO</v>
      </c>
      <c r="G180" s="4"/>
      <c r="H180" s="4"/>
    </row>
    <row r="181" customFormat="false" ht="15.75" hidden="false" customHeight="false" outlineLevel="0" collapsed="false">
      <c r="B181" s="3" t="str">
        <f aca="false">IF(COUNTIF(Final_CB_B2_V5!$B$2:$B$491,A181)&gt;=1,"YES","NO")</f>
        <v>NO</v>
      </c>
      <c r="D181" s="3" t="str">
        <f aca="false">IF(COUNTIF(Final_CB_B2_V5!$C$2:$C$491,C181)&gt;=1,"YES","NO")</f>
        <v>NO</v>
      </c>
      <c r="G181" s="4"/>
      <c r="H181" s="4"/>
    </row>
    <row r="182" customFormat="false" ht="15.75" hidden="false" customHeight="false" outlineLevel="0" collapsed="false">
      <c r="B182" s="3" t="str">
        <f aca="false">IF(COUNTIF(Final_CB_B2_V5!$B$2:$B$491,A182)&gt;=1,"YES","NO")</f>
        <v>NO</v>
      </c>
      <c r="D182" s="3" t="str">
        <f aca="false">IF(COUNTIF(Final_CB_B2_V5!$C$2:$C$491,C182)&gt;=1,"YES","NO")</f>
        <v>NO</v>
      </c>
      <c r="G182" s="4"/>
      <c r="H182" s="4"/>
    </row>
    <row r="183" customFormat="false" ht="15.75" hidden="false" customHeight="false" outlineLevel="0" collapsed="false">
      <c r="B183" s="3" t="str">
        <f aca="false">IF(COUNTIF(Final_CB_B2_V5!$B$2:$B$491,A183)&gt;=1,"YES","NO")</f>
        <v>NO</v>
      </c>
      <c r="D183" s="3" t="str">
        <f aca="false">IF(COUNTIF(Final_CB_B2_V5!$C$2:$C$491,C183)&gt;=1,"YES","NO")</f>
        <v>NO</v>
      </c>
      <c r="G183" s="4"/>
      <c r="H183" s="4"/>
    </row>
    <row r="184" customFormat="false" ht="15.75" hidden="false" customHeight="false" outlineLevel="0" collapsed="false">
      <c r="B184" s="3" t="str">
        <f aca="false">IF(COUNTIF(Final_CB_B2_V5!$B$2:$B$491,A184)&gt;=1,"YES","NO")</f>
        <v>NO</v>
      </c>
      <c r="D184" s="3" t="str">
        <f aca="false">IF(COUNTIF(Final_CB_B2_V5!$C$2:$C$491,C184)&gt;=1,"YES","NO")</f>
        <v>NO</v>
      </c>
      <c r="G184" s="4"/>
      <c r="H184" s="4"/>
    </row>
    <row r="185" customFormat="false" ht="15.75" hidden="false" customHeight="false" outlineLevel="0" collapsed="false">
      <c r="B185" s="3" t="str">
        <f aca="false">IF(COUNTIF(Final_CB_B2_V5!$B$2:$B$491,A185)&gt;=1,"YES","NO")</f>
        <v>NO</v>
      </c>
      <c r="D185" s="3" t="str">
        <f aca="false">IF(COUNTIF(Final_CB_B2_V5!$C$2:$C$491,C185)&gt;=1,"YES","NO")</f>
        <v>NO</v>
      </c>
      <c r="G185" s="4"/>
      <c r="H185" s="4"/>
    </row>
    <row r="186" customFormat="false" ht="15.75" hidden="false" customHeight="false" outlineLevel="0" collapsed="false">
      <c r="B186" s="3" t="str">
        <f aca="false">IF(COUNTIF(Final_CB_B2_V5!$B$2:$B$491,A186)&gt;=1,"YES","NO")</f>
        <v>NO</v>
      </c>
      <c r="D186" s="3" t="str">
        <f aca="false">IF(COUNTIF(Final_CB_B2_V5!$C$2:$C$491,C186)&gt;=1,"YES","NO")</f>
        <v>NO</v>
      </c>
      <c r="G186" s="4"/>
      <c r="H186" s="4"/>
    </row>
    <row r="187" customFormat="false" ht="15.75" hidden="false" customHeight="false" outlineLevel="0" collapsed="false">
      <c r="B187" s="3" t="str">
        <f aca="false">IF(COUNTIF(Final_CB_B2_V5!$B$2:$B$491,A187)&gt;=1,"YES","NO")</f>
        <v>NO</v>
      </c>
      <c r="D187" s="3" t="str">
        <f aca="false">IF(COUNTIF(Final_CB_B2_V5!$C$2:$C$491,C187)&gt;=1,"YES","NO")</f>
        <v>NO</v>
      </c>
      <c r="G187" s="4"/>
      <c r="H187" s="4"/>
    </row>
    <row r="188" customFormat="false" ht="15.75" hidden="false" customHeight="false" outlineLevel="0" collapsed="false">
      <c r="B188" s="3" t="str">
        <f aca="false">IF(COUNTIF(Final_CB_B2_V5!$B$2:$B$491,A188)&gt;=1,"YES","NO")</f>
        <v>NO</v>
      </c>
      <c r="D188" s="3" t="str">
        <f aca="false">IF(COUNTIF(Final_CB_B2_V5!$C$2:$C$491,C188)&gt;=1,"YES","NO")</f>
        <v>NO</v>
      </c>
      <c r="G188" s="4"/>
      <c r="H188" s="4"/>
    </row>
    <row r="189" customFormat="false" ht="15.75" hidden="false" customHeight="false" outlineLevel="0" collapsed="false">
      <c r="B189" s="3" t="str">
        <f aca="false">IF(COUNTIF(Final_CB_B2_V5!$B$2:$B$491,A189)&gt;=1,"YES","NO")</f>
        <v>NO</v>
      </c>
      <c r="D189" s="3" t="str">
        <f aca="false">IF(COUNTIF(Final_CB_B2_V5!$C$2:$C$491,C189)&gt;=1,"YES","NO")</f>
        <v>NO</v>
      </c>
      <c r="G189" s="4"/>
      <c r="H189" s="4"/>
    </row>
    <row r="190" customFormat="false" ht="15.75" hidden="false" customHeight="false" outlineLevel="0" collapsed="false">
      <c r="B190" s="3" t="str">
        <f aca="false">IF(COUNTIF(Final_CB_B2_V5!$B$2:$B$491,A190)&gt;=1,"YES","NO")</f>
        <v>NO</v>
      </c>
      <c r="D190" s="3" t="str">
        <f aca="false">IF(COUNTIF(Final_CB_B2_V5!$C$2:$C$491,C190)&gt;=1,"YES","NO")</f>
        <v>NO</v>
      </c>
      <c r="G190" s="4"/>
      <c r="H190" s="4"/>
    </row>
    <row r="191" customFormat="false" ht="15.75" hidden="false" customHeight="false" outlineLevel="0" collapsed="false">
      <c r="B191" s="3" t="str">
        <f aca="false">IF(COUNTIF(Final_CB_B2_V5!$B$2:$B$491,A191)&gt;=1,"YES","NO")</f>
        <v>NO</v>
      </c>
      <c r="D191" s="3" t="str">
        <f aca="false">IF(COUNTIF(Final_CB_B2_V5!$C$2:$C$491,C191)&gt;=1,"YES","NO")</f>
        <v>NO</v>
      </c>
      <c r="G191" s="4"/>
      <c r="H191" s="4"/>
    </row>
    <row r="192" customFormat="false" ht="15.75" hidden="false" customHeight="false" outlineLevel="0" collapsed="false">
      <c r="G192" s="4"/>
      <c r="H192" s="4"/>
    </row>
    <row r="193" customFormat="false" ht="15.75" hidden="false" customHeight="false" outlineLevel="0" collapsed="false">
      <c r="G193" s="4"/>
      <c r="H193" s="4"/>
    </row>
    <row r="194" customFormat="false" ht="15.75" hidden="false" customHeight="false" outlineLevel="0" collapsed="false">
      <c r="G194" s="4"/>
      <c r="H194" s="4"/>
    </row>
    <row r="195" customFormat="false" ht="15.75" hidden="false" customHeight="false" outlineLevel="0" collapsed="false">
      <c r="G195" s="4"/>
      <c r="H195" s="4"/>
    </row>
    <row r="196" customFormat="false" ht="15.75" hidden="false" customHeight="false" outlineLevel="0" collapsed="false">
      <c r="G196" s="4"/>
      <c r="H196" s="4"/>
    </row>
    <row r="197" customFormat="false" ht="15.75" hidden="false" customHeight="false" outlineLevel="0" collapsed="false">
      <c r="G197" s="4"/>
      <c r="H197" s="4"/>
    </row>
    <row r="198" customFormat="false" ht="15.75" hidden="false" customHeight="false" outlineLevel="0" collapsed="false">
      <c r="G198" s="4"/>
      <c r="H198" s="4"/>
    </row>
    <row r="199" customFormat="false" ht="15.75" hidden="false" customHeight="false" outlineLevel="0" collapsed="false">
      <c r="G199" s="4"/>
      <c r="H199" s="4"/>
    </row>
    <row r="200" customFormat="false" ht="15.75" hidden="false" customHeight="false" outlineLevel="0" collapsed="false">
      <c r="G200" s="4"/>
      <c r="H200" s="4"/>
    </row>
    <row r="201" customFormat="false" ht="15.75" hidden="false" customHeight="false" outlineLevel="0" collapsed="false">
      <c r="G201" s="4"/>
      <c r="H201" s="4"/>
    </row>
    <row r="202" customFormat="false" ht="15.75" hidden="false" customHeight="false" outlineLevel="0" collapsed="false">
      <c r="G202" s="4"/>
      <c r="H202" s="4"/>
    </row>
    <row r="203" customFormat="false" ht="15.75" hidden="false" customHeight="false" outlineLevel="0" collapsed="false">
      <c r="G203" s="4"/>
      <c r="H203" s="4"/>
    </row>
    <row r="204" customFormat="false" ht="15.75" hidden="false" customHeight="false" outlineLevel="0" collapsed="false">
      <c r="G204" s="4"/>
      <c r="H204" s="4"/>
    </row>
    <row r="205" customFormat="false" ht="15.75" hidden="false" customHeight="false" outlineLevel="0" collapsed="false">
      <c r="G205" s="4"/>
      <c r="H205" s="4"/>
    </row>
    <row r="206" customFormat="false" ht="15.75" hidden="false" customHeight="false" outlineLevel="0" collapsed="false">
      <c r="G206" s="4"/>
      <c r="H206" s="4"/>
    </row>
    <row r="207" customFormat="false" ht="15.75" hidden="false" customHeight="false" outlineLevel="0" collapsed="false">
      <c r="G207" s="4"/>
      <c r="H207" s="4"/>
    </row>
    <row r="208" customFormat="false" ht="15.75" hidden="false" customHeight="false" outlineLevel="0" collapsed="false">
      <c r="G208" s="4"/>
      <c r="H208" s="4"/>
    </row>
    <row r="209" customFormat="false" ht="15.75" hidden="false" customHeight="false" outlineLevel="0" collapsed="false">
      <c r="G209" s="4"/>
      <c r="H209" s="4"/>
    </row>
    <row r="210" customFormat="false" ht="15.75" hidden="false" customHeight="false" outlineLevel="0" collapsed="false">
      <c r="G210" s="4"/>
      <c r="H210" s="4"/>
    </row>
    <row r="211" customFormat="false" ht="15.75" hidden="false" customHeight="false" outlineLevel="0" collapsed="false">
      <c r="G211" s="4"/>
      <c r="H211" s="4"/>
    </row>
    <row r="212" customFormat="false" ht="15.75" hidden="false" customHeight="false" outlineLevel="0" collapsed="false">
      <c r="G212" s="4"/>
      <c r="H212" s="4"/>
    </row>
    <row r="213" customFormat="false" ht="15.75" hidden="false" customHeight="false" outlineLevel="0" collapsed="false">
      <c r="G213" s="4"/>
      <c r="H213" s="4"/>
    </row>
    <row r="214" customFormat="false" ht="15.75" hidden="false" customHeight="false" outlineLevel="0" collapsed="false">
      <c r="G214" s="4"/>
      <c r="H214" s="4"/>
    </row>
    <row r="215" customFormat="false" ht="15.75" hidden="false" customHeight="false" outlineLevel="0" collapsed="false">
      <c r="G215" s="4"/>
      <c r="H215" s="4"/>
    </row>
    <row r="216" customFormat="false" ht="15.75" hidden="false" customHeight="false" outlineLevel="0" collapsed="false">
      <c r="G216" s="4"/>
      <c r="H216" s="4"/>
    </row>
    <row r="217" customFormat="false" ht="15.75" hidden="false" customHeight="false" outlineLevel="0" collapsed="false">
      <c r="G217" s="4"/>
      <c r="H217" s="4"/>
    </row>
    <row r="218" customFormat="false" ht="15.75" hidden="false" customHeight="false" outlineLevel="0" collapsed="false">
      <c r="G218" s="4"/>
      <c r="H218" s="4"/>
    </row>
    <row r="219" customFormat="false" ht="15.75" hidden="false" customHeight="false" outlineLevel="0" collapsed="false">
      <c r="G219" s="4"/>
      <c r="H219" s="4"/>
    </row>
    <row r="220" customFormat="false" ht="15.75" hidden="false" customHeight="false" outlineLevel="0" collapsed="false">
      <c r="G220" s="4"/>
      <c r="H220" s="4"/>
    </row>
    <row r="221" customFormat="false" ht="15.75" hidden="false" customHeight="false" outlineLevel="0" collapsed="false">
      <c r="G221" s="4"/>
      <c r="H221" s="4"/>
    </row>
    <row r="222" customFormat="false" ht="15.75" hidden="false" customHeight="false" outlineLevel="0" collapsed="false">
      <c r="G222" s="4"/>
      <c r="H222" s="4"/>
    </row>
    <row r="223" customFormat="false" ht="15.75" hidden="false" customHeight="false" outlineLevel="0" collapsed="false">
      <c r="G223" s="4"/>
      <c r="H223" s="4"/>
    </row>
    <row r="224" customFormat="false" ht="15.75" hidden="false" customHeight="false" outlineLevel="0" collapsed="false">
      <c r="G224" s="4"/>
      <c r="H224" s="4"/>
    </row>
    <row r="225" customFormat="false" ht="15.75" hidden="false" customHeight="false" outlineLevel="0" collapsed="false">
      <c r="G225" s="4"/>
      <c r="H225" s="4"/>
    </row>
    <row r="226" customFormat="false" ht="15.75" hidden="false" customHeight="false" outlineLevel="0" collapsed="false">
      <c r="G226" s="4"/>
      <c r="H226" s="4"/>
    </row>
    <row r="227" customFormat="false" ht="15.75" hidden="false" customHeight="false" outlineLevel="0" collapsed="false">
      <c r="G227" s="4"/>
      <c r="H227" s="4"/>
    </row>
    <row r="228" customFormat="false" ht="15.75" hidden="false" customHeight="false" outlineLevel="0" collapsed="false">
      <c r="G228" s="4"/>
      <c r="H228" s="4"/>
    </row>
    <row r="229" customFormat="false" ht="15.75" hidden="false" customHeight="false" outlineLevel="0" collapsed="false">
      <c r="G229" s="4"/>
      <c r="H229" s="4"/>
    </row>
    <row r="230" customFormat="false" ht="15.75" hidden="false" customHeight="false" outlineLevel="0" collapsed="false">
      <c r="G230" s="4"/>
      <c r="H230" s="4"/>
    </row>
    <row r="231" customFormat="false" ht="15.75" hidden="false" customHeight="false" outlineLevel="0" collapsed="false">
      <c r="G231" s="4"/>
      <c r="H231" s="4"/>
    </row>
    <row r="232" customFormat="false" ht="15.75" hidden="false" customHeight="false" outlineLevel="0" collapsed="false">
      <c r="G232" s="4"/>
      <c r="H232" s="4"/>
    </row>
    <row r="233" customFormat="false" ht="15.75" hidden="false" customHeight="false" outlineLevel="0" collapsed="false">
      <c r="G233" s="4"/>
      <c r="H233" s="4"/>
    </row>
    <row r="234" customFormat="false" ht="15.75" hidden="false" customHeight="false" outlineLevel="0" collapsed="false">
      <c r="G234" s="4"/>
      <c r="H234" s="4"/>
    </row>
    <row r="235" customFormat="false" ht="15.75" hidden="false" customHeight="false" outlineLevel="0" collapsed="false">
      <c r="G235" s="4"/>
      <c r="H235" s="4"/>
    </row>
    <row r="236" customFormat="false" ht="15.75" hidden="false" customHeight="false" outlineLevel="0" collapsed="false">
      <c r="G236" s="4"/>
      <c r="H236" s="4"/>
    </row>
    <row r="237" customFormat="false" ht="15.75" hidden="false" customHeight="false" outlineLevel="0" collapsed="false">
      <c r="G237" s="4"/>
      <c r="H237" s="4"/>
    </row>
    <row r="238" customFormat="false" ht="15.75" hidden="false" customHeight="false" outlineLevel="0" collapsed="false">
      <c r="G238" s="4"/>
      <c r="H238" s="4"/>
    </row>
    <row r="239" customFormat="false" ht="15.75" hidden="false" customHeight="false" outlineLevel="0" collapsed="false">
      <c r="G239" s="4"/>
      <c r="H239" s="4"/>
    </row>
    <row r="240" customFormat="false" ht="15.75" hidden="false" customHeight="false" outlineLevel="0" collapsed="false">
      <c r="G240" s="4"/>
      <c r="H240" s="4"/>
    </row>
    <row r="241" customFormat="false" ht="15.75" hidden="false" customHeight="false" outlineLevel="0" collapsed="false">
      <c r="G241" s="4"/>
      <c r="H241" s="4"/>
    </row>
    <row r="242" customFormat="false" ht="15.75" hidden="false" customHeight="false" outlineLevel="0" collapsed="false">
      <c r="G242" s="4"/>
      <c r="H242" s="4"/>
    </row>
    <row r="243" customFormat="false" ht="15.75" hidden="false" customHeight="false" outlineLevel="0" collapsed="false">
      <c r="G243" s="4"/>
      <c r="H243" s="4"/>
    </row>
    <row r="244" customFormat="false" ht="15.75" hidden="false" customHeight="false" outlineLevel="0" collapsed="false">
      <c r="G244" s="4"/>
      <c r="H244" s="4"/>
    </row>
    <row r="245" customFormat="false" ht="15.75" hidden="false" customHeight="false" outlineLevel="0" collapsed="false">
      <c r="G245" s="4"/>
      <c r="H245" s="4"/>
    </row>
    <row r="246" customFormat="false" ht="15.75" hidden="false" customHeight="false" outlineLevel="0" collapsed="false">
      <c r="G246" s="4"/>
      <c r="H246" s="4"/>
    </row>
    <row r="247" customFormat="false" ht="15.75" hidden="false" customHeight="false" outlineLevel="0" collapsed="false">
      <c r="G247" s="4"/>
      <c r="H247" s="4"/>
    </row>
    <row r="248" customFormat="false" ht="15.75" hidden="false" customHeight="false" outlineLevel="0" collapsed="false">
      <c r="G248" s="4"/>
      <c r="H248" s="4"/>
    </row>
    <row r="249" customFormat="false" ht="15.75" hidden="false" customHeight="false" outlineLevel="0" collapsed="false">
      <c r="G249" s="4"/>
      <c r="H249" s="4"/>
    </row>
    <row r="250" customFormat="false" ht="15.75" hidden="false" customHeight="false" outlineLevel="0" collapsed="false">
      <c r="G250" s="4"/>
      <c r="H250" s="4"/>
    </row>
    <row r="251" customFormat="false" ht="15.75" hidden="false" customHeight="false" outlineLevel="0" collapsed="false">
      <c r="G251" s="4"/>
      <c r="H251" s="4"/>
    </row>
    <row r="252" customFormat="false" ht="15.75" hidden="false" customHeight="false" outlineLevel="0" collapsed="false">
      <c r="G252" s="4"/>
      <c r="H252" s="4"/>
    </row>
    <row r="253" customFormat="false" ht="15.75" hidden="false" customHeight="false" outlineLevel="0" collapsed="false">
      <c r="G253" s="4"/>
      <c r="H253" s="4"/>
    </row>
    <row r="254" customFormat="false" ht="15.75" hidden="false" customHeight="false" outlineLevel="0" collapsed="false">
      <c r="G254" s="4"/>
      <c r="H254" s="4"/>
    </row>
    <row r="255" customFormat="false" ht="15.75" hidden="false" customHeight="false" outlineLevel="0" collapsed="false">
      <c r="G255" s="4"/>
      <c r="H255" s="4"/>
    </row>
    <row r="256" customFormat="false" ht="15.75" hidden="false" customHeight="false" outlineLevel="0" collapsed="false">
      <c r="G256" s="4"/>
      <c r="H256" s="4"/>
    </row>
    <row r="257" customFormat="false" ht="15.75" hidden="false" customHeight="false" outlineLevel="0" collapsed="false">
      <c r="G257" s="4"/>
      <c r="H257" s="4"/>
    </row>
    <row r="258" customFormat="false" ht="15.75" hidden="false" customHeight="false" outlineLevel="0" collapsed="false">
      <c r="G258" s="4"/>
      <c r="H258" s="4"/>
    </row>
    <row r="259" customFormat="false" ht="15.75" hidden="false" customHeight="false" outlineLevel="0" collapsed="false">
      <c r="G259" s="4"/>
      <c r="H259" s="4"/>
    </row>
    <row r="260" customFormat="false" ht="15.75" hidden="false" customHeight="false" outlineLevel="0" collapsed="false">
      <c r="G260" s="4"/>
      <c r="H260" s="4"/>
    </row>
    <row r="261" customFormat="false" ht="15.75" hidden="false" customHeight="false" outlineLevel="0" collapsed="false">
      <c r="G261" s="4"/>
      <c r="H261" s="4"/>
    </row>
    <row r="262" customFormat="false" ht="15.75" hidden="false" customHeight="false" outlineLevel="0" collapsed="false">
      <c r="G262" s="4"/>
      <c r="H262" s="4"/>
    </row>
    <row r="263" customFormat="false" ht="15.75" hidden="false" customHeight="false" outlineLevel="0" collapsed="false">
      <c r="G263" s="4"/>
      <c r="H263" s="4"/>
    </row>
    <row r="264" customFormat="false" ht="15.75" hidden="false" customHeight="false" outlineLevel="0" collapsed="false">
      <c r="G264" s="4"/>
      <c r="H264" s="4"/>
    </row>
    <row r="265" customFormat="false" ht="15.75" hidden="false" customHeight="false" outlineLevel="0" collapsed="false">
      <c r="G265" s="4"/>
      <c r="H265" s="4"/>
    </row>
    <row r="266" customFormat="false" ht="15.75" hidden="false" customHeight="false" outlineLevel="0" collapsed="false">
      <c r="G266" s="4"/>
      <c r="H266" s="4"/>
    </row>
    <row r="267" customFormat="false" ht="15.75" hidden="false" customHeight="false" outlineLevel="0" collapsed="false">
      <c r="G267" s="4"/>
      <c r="H267" s="4"/>
    </row>
    <row r="268" customFormat="false" ht="15.75" hidden="false" customHeight="false" outlineLevel="0" collapsed="false">
      <c r="G268" s="4"/>
      <c r="H268" s="4"/>
    </row>
    <row r="269" customFormat="false" ht="15.75" hidden="false" customHeight="false" outlineLevel="0" collapsed="false">
      <c r="G269" s="4"/>
      <c r="H269" s="4"/>
    </row>
    <row r="270" customFormat="false" ht="15.75" hidden="false" customHeight="false" outlineLevel="0" collapsed="false">
      <c r="G270" s="4"/>
      <c r="H270" s="4"/>
    </row>
    <row r="271" customFormat="false" ht="15.75" hidden="false" customHeight="false" outlineLevel="0" collapsed="false">
      <c r="G271" s="4"/>
      <c r="H271" s="4"/>
    </row>
    <row r="272" customFormat="false" ht="15.75" hidden="false" customHeight="false" outlineLevel="0" collapsed="false">
      <c r="G272" s="4"/>
      <c r="H272" s="4"/>
    </row>
    <row r="273" customFormat="false" ht="15.75" hidden="false" customHeight="false" outlineLevel="0" collapsed="false">
      <c r="G273" s="4"/>
      <c r="H273" s="4"/>
    </row>
    <row r="274" customFormat="false" ht="15.75" hidden="false" customHeight="false" outlineLevel="0" collapsed="false">
      <c r="G274" s="4"/>
      <c r="H274" s="4"/>
    </row>
    <row r="275" customFormat="false" ht="15.75" hidden="false" customHeight="false" outlineLevel="0" collapsed="false">
      <c r="G275" s="4"/>
      <c r="H275" s="4"/>
    </row>
    <row r="276" customFormat="false" ht="15.75" hidden="false" customHeight="false" outlineLevel="0" collapsed="false">
      <c r="G276" s="4"/>
      <c r="H276" s="4"/>
    </row>
    <row r="277" customFormat="false" ht="15.75" hidden="false" customHeight="false" outlineLevel="0" collapsed="false">
      <c r="G277" s="4"/>
      <c r="H277" s="4"/>
    </row>
    <row r="278" customFormat="false" ht="15.75" hidden="false" customHeight="false" outlineLevel="0" collapsed="false">
      <c r="G278" s="4"/>
      <c r="H278" s="4"/>
    </row>
    <row r="279" customFormat="false" ht="15.75" hidden="false" customHeight="false" outlineLevel="0" collapsed="false">
      <c r="G279" s="4"/>
      <c r="H279" s="4"/>
    </row>
    <row r="280" customFormat="false" ht="15.75" hidden="false" customHeight="false" outlineLevel="0" collapsed="false">
      <c r="G280" s="4"/>
      <c r="H280" s="4"/>
    </row>
    <row r="281" customFormat="false" ht="15.75" hidden="false" customHeight="false" outlineLevel="0" collapsed="false">
      <c r="G281" s="4"/>
      <c r="H281" s="4"/>
    </row>
    <row r="282" customFormat="false" ht="15.75" hidden="false" customHeight="false" outlineLevel="0" collapsed="false">
      <c r="G282" s="4"/>
      <c r="H282" s="4"/>
    </row>
    <row r="283" customFormat="false" ht="15.75" hidden="false" customHeight="false" outlineLevel="0" collapsed="false">
      <c r="G283" s="4"/>
      <c r="H283" s="4"/>
    </row>
    <row r="284" customFormat="false" ht="15.75" hidden="false" customHeight="false" outlineLevel="0" collapsed="false">
      <c r="G284" s="4"/>
      <c r="H284" s="4"/>
    </row>
    <row r="285" customFormat="false" ht="15.75" hidden="false" customHeight="false" outlineLevel="0" collapsed="false">
      <c r="G285" s="4"/>
      <c r="H285" s="4"/>
    </row>
    <row r="286" customFormat="false" ht="15.75" hidden="false" customHeight="false" outlineLevel="0" collapsed="false">
      <c r="G286" s="4"/>
      <c r="H286" s="4"/>
    </row>
    <row r="287" customFormat="false" ht="15.75" hidden="false" customHeight="false" outlineLevel="0" collapsed="false">
      <c r="G287" s="4"/>
      <c r="H287" s="4"/>
    </row>
    <row r="288" customFormat="false" ht="15.75" hidden="false" customHeight="false" outlineLevel="0" collapsed="false">
      <c r="G288" s="4"/>
      <c r="H288" s="4"/>
    </row>
    <row r="289" customFormat="false" ht="15.75" hidden="false" customHeight="false" outlineLevel="0" collapsed="false">
      <c r="G289" s="4"/>
      <c r="H289" s="4"/>
    </row>
    <row r="290" customFormat="false" ht="15.75" hidden="false" customHeight="false" outlineLevel="0" collapsed="false">
      <c r="G290" s="4"/>
      <c r="H290" s="4"/>
    </row>
    <row r="291" customFormat="false" ht="15.75" hidden="false" customHeight="false" outlineLevel="0" collapsed="false">
      <c r="G291" s="4"/>
      <c r="H291" s="4"/>
    </row>
    <row r="292" customFormat="false" ht="15.75" hidden="false" customHeight="false" outlineLevel="0" collapsed="false">
      <c r="G292" s="4"/>
      <c r="H292" s="4"/>
    </row>
    <row r="293" customFormat="false" ht="15.75" hidden="false" customHeight="false" outlineLevel="0" collapsed="false">
      <c r="G293" s="4"/>
      <c r="H293" s="4"/>
    </row>
    <row r="294" customFormat="false" ht="15.75" hidden="false" customHeight="false" outlineLevel="0" collapsed="false">
      <c r="G294" s="4"/>
      <c r="H294" s="4"/>
    </row>
    <row r="295" customFormat="false" ht="15.75" hidden="false" customHeight="false" outlineLevel="0" collapsed="false">
      <c r="G295" s="4"/>
      <c r="H295" s="4"/>
    </row>
    <row r="296" customFormat="false" ht="15.75" hidden="false" customHeight="false" outlineLevel="0" collapsed="false">
      <c r="G296" s="4"/>
      <c r="H296" s="4"/>
    </row>
    <row r="297" customFormat="false" ht="15.75" hidden="false" customHeight="false" outlineLevel="0" collapsed="false">
      <c r="G297" s="4"/>
      <c r="H297" s="4"/>
    </row>
    <row r="298" customFormat="false" ht="15.75" hidden="false" customHeight="false" outlineLevel="0" collapsed="false"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  <row r="628" customFormat="false" ht="15.75" hidden="false" customHeight="false" outlineLevel="0" collapsed="false">
      <c r="G628" s="4"/>
      <c r="H628" s="4"/>
    </row>
    <row r="629" customFormat="false" ht="15.75" hidden="false" customHeight="false" outlineLevel="0" collapsed="false">
      <c r="G629" s="4"/>
      <c r="H629" s="4"/>
    </row>
    <row r="630" customFormat="false" ht="15.75" hidden="false" customHeight="false" outlineLevel="0" collapsed="false">
      <c r="G630" s="4"/>
      <c r="H630" s="4"/>
    </row>
    <row r="631" customFormat="false" ht="15.75" hidden="false" customHeight="false" outlineLevel="0" collapsed="false">
      <c r="G631" s="4"/>
      <c r="H631" s="4"/>
    </row>
    <row r="632" customFormat="false" ht="15.75" hidden="false" customHeight="false" outlineLevel="0" collapsed="false">
      <c r="G632" s="4"/>
      <c r="H632" s="4"/>
    </row>
    <row r="633" customFormat="false" ht="15.75" hidden="false" customHeight="false" outlineLevel="0" collapsed="false">
      <c r="G633" s="4"/>
      <c r="H633" s="4"/>
    </row>
    <row r="634" customFormat="false" ht="15.75" hidden="false" customHeight="false" outlineLevel="0" collapsed="false">
      <c r="G634" s="4"/>
      <c r="H634" s="4"/>
    </row>
    <row r="635" customFormat="false" ht="15.75" hidden="false" customHeight="false" outlineLevel="0" collapsed="false">
      <c r="G635" s="4"/>
      <c r="H635" s="4"/>
    </row>
    <row r="636" customFormat="false" ht="15.75" hidden="false" customHeight="false" outlineLevel="0" collapsed="false">
      <c r="G636" s="4"/>
      <c r="H636" s="4"/>
    </row>
    <row r="637" customFormat="false" ht="15.75" hidden="false" customHeight="false" outlineLevel="0" collapsed="false">
      <c r="G637" s="4"/>
      <c r="H637" s="4"/>
    </row>
    <row r="638" customFormat="false" ht="15.75" hidden="false" customHeight="false" outlineLevel="0" collapsed="false">
      <c r="G638" s="4"/>
      <c r="H638" s="4"/>
    </row>
    <row r="639" customFormat="false" ht="15.75" hidden="false" customHeight="false" outlineLevel="0" collapsed="false">
      <c r="G639" s="4"/>
      <c r="H639" s="4"/>
    </row>
    <row r="640" customFormat="false" ht="15.75" hidden="false" customHeight="false" outlineLevel="0" collapsed="false">
      <c r="G640" s="4"/>
      <c r="H640" s="4"/>
    </row>
    <row r="641" customFormat="false" ht="15.75" hidden="false" customHeight="false" outlineLevel="0" collapsed="false">
      <c r="G641" s="4"/>
      <c r="H641" s="4"/>
    </row>
    <row r="642" customFormat="false" ht="15.75" hidden="false" customHeight="false" outlineLevel="0" collapsed="false">
      <c r="G642" s="4"/>
      <c r="H642" s="4"/>
    </row>
    <row r="643" customFormat="false" ht="15.75" hidden="false" customHeight="false" outlineLevel="0" collapsed="false">
      <c r="G643" s="4"/>
      <c r="H643" s="4"/>
    </row>
    <row r="644" customFormat="false" ht="15.75" hidden="false" customHeight="false" outlineLevel="0" collapsed="false">
      <c r="G644" s="4"/>
      <c r="H644" s="4"/>
    </row>
    <row r="645" customFormat="false" ht="15.75" hidden="false" customHeight="false" outlineLevel="0" collapsed="false">
      <c r="G645" s="4"/>
      <c r="H645" s="4"/>
    </row>
    <row r="646" customFormat="false" ht="15.75" hidden="false" customHeight="false" outlineLevel="0" collapsed="false">
      <c r="G646" s="4"/>
      <c r="H646" s="4"/>
    </row>
    <row r="647" customFormat="false" ht="15.75" hidden="false" customHeight="false" outlineLevel="0" collapsed="false">
      <c r="G647" s="4"/>
      <c r="H647" s="4"/>
    </row>
    <row r="648" customFormat="false" ht="15.75" hidden="false" customHeight="false" outlineLevel="0" collapsed="false">
      <c r="G648" s="4"/>
      <c r="H648" s="4"/>
    </row>
    <row r="649" customFormat="false" ht="15.75" hidden="false" customHeight="false" outlineLevel="0" collapsed="false">
      <c r="G649" s="4"/>
      <c r="H649" s="4"/>
    </row>
    <row r="650" customFormat="false" ht="15.75" hidden="false" customHeight="false" outlineLevel="0" collapsed="false">
      <c r="G650" s="4"/>
      <c r="H650" s="4"/>
    </row>
    <row r="651" customFormat="false" ht="15.75" hidden="false" customHeight="false" outlineLevel="0" collapsed="false">
      <c r="G651" s="4"/>
      <c r="H651" s="4"/>
    </row>
    <row r="652" customFormat="false" ht="15.75" hidden="false" customHeight="false" outlineLevel="0" collapsed="false">
      <c r="G652" s="4"/>
      <c r="H652" s="4"/>
    </row>
    <row r="653" customFormat="false" ht="15.75" hidden="false" customHeight="false" outlineLevel="0" collapsed="false">
      <c r="G653" s="4"/>
      <c r="H653" s="4"/>
    </row>
    <row r="654" customFormat="false" ht="15.75" hidden="false" customHeight="false" outlineLevel="0" collapsed="false">
      <c r="G654" s="4"/>
      <c r="H654" s="4"/>
    </row>
    <row r="655" customFormat="false" ht="15.75" hidden="false" customHeight="false" outlineLevel="0" collapsed="false">
      <c r="G655" s="4"/>
      <c r="H655" s="4"/>
    </row>
    <row r="656" customFormat="false" ht="15.75" hidden="false" customHeight="false" outlineLevel="0" collapsed="false">
      <c r="G656" s="4"/>
      <c r="H656" s="4"/>
    </row>
    <row r="657" customFormat="false" ht="15.75" hidden="false" customHeight="false" outlineLevel="0" collapsed="false">
      <c r="G657" s="4"/>
      <c r="H657" s="4"/>
    </row>
    <row r="658" customFormat="false" ht="15.75" hidden="false" customHeight="false" outlineLevel="0" collapsed="false">
      <c r="G658" s="4"/>
      <c r="H658" s="4"/>
    </row>
    <row r="659" customFormat="false" ht="15.75" hidden="false" customHeight="false" outlineLevel="0" collapsed="false">
      <c r="G659" s="4"/>
      <c r="H659" s="4"/>
    </row>
    <row r="660" customFormat="false" ht="15.75" hidden="false" customHeight="false" outlineLevel="0" collapsed="false">
      <c r="G660" s="4"/>
      <c r="H660" s="4"/>
    </row>
    <row r="661" customFormat="false" ht="15.75" hidden="false" customHeight="false" outlineLevel="0" collapsed="false">
      <c r="G661" s="4"/>
      <c r="H661" s="4"/>
    </row>
    <row r="662" customFormat="false" ht="15.75" hidden="false" customHeight="false" outlineLevel="0" collapsed="false">
      <c r="G662" s="4"/>
      <c r="H662" s="4"/>
    </row>
    <row r="663" customFormat="false" ht="15.75" hidden="false" customHeight="false" outlineLevel="0" collapsed="false">
      <c r="G663" s="4"/>
      <c r="H663" s="4"/>
    </row>
    <row r="664" customFormat="false" ht="15.75" hidden="false" customHeight="false" outlineLevel="0" collapsed="false">
      <c r="G664" s="4"/>
      <c r="H664" s="4"/>
    </row>
    <row r="665" customFormat="false" ht="15.75" hidden="false" customHeight="false" outlineLevel="0" collapsed="false">
      <c r="G665" s="4"/>
      <c r="H665" s="4"/>
    </row>
    <row r="666" customFormat="false" ht="15.75" hidden="false" customHeight="false" outlineLevel="0" collapsed="false">
      <c r="G666" s="4"/>
      <c r="H666" s="4"/>
    </row>
    <row r="667" customFormat="false" ht="15.75" hidden="false" customHeight="false" outlineLevel="0" collapsed="false">
      <c r="G667" s="4"/>
      <c r="H667" s="4"/>
    </row>
    <row r="668" customFormat="false" ht="15.75" hidden="false" customHeight="false" outlineLevel="0" collapsed="false">
      <c r="G668" s="4"/>
      <c r="H668" s="4"/>
    </row>
    <row r="669" customFormat="false" ht="15.75" hidden="false" customHeight="false" outlineLevel="0" collapsed="false">
      <c r="G669" s="4"/>
      <c r="H669" s="4"/>
    </row>
    <row r="670" customFormat="false" ht="15.75" hidden="false" customHeight="false" outlineLevel="0" collapsed="false">
      <c r="G670" s="4"/>
      <c r="H670" s="4"/>
    </row>
    <row r="671" customFormat="false" ht="15.75" hidden="false" customHeight="false" outlineLevel="0" collapsed="false">
      <c r="G671" s="4"/>
      <c r="H671" s="4"/>
    </row>
    <row r="672" customFormat="false" ht="15.75" hidden="false" customHeight="false" outlineLevel="0" collapsed="false">
      <c r="G672" s="4"/>
      <c r="H672" s="4"/>
    </row>
    <row r="673" customFormat="false" ht="15.75" hidden="false" customHeight="false" outlineLevel="0" collapsed="false">
      <c r="G673" s="4"/>
      <c r="H673" s="4"/>
    </row>
    <row r="674" customFormat="false" ht="15.75" hidden="false" customHeight="false" outlineLevel="0" collapsed="false">
      <c r="G674" s="4"/>
      <c r="H674" s="4"/>
    </row>
    <row r="675" customFormat="false" ht="15.75" hidden="false" customHeight="false" outlineLevel="0" collapsed="false">
      <c r="G675" s="4"/>
      <c r="H675" s="4"/>
    </row>
    <row r="676" customFormat="false" ht="15.75" hidden="false" customHeight="false" outlineLevel="0" collapsed="false">
      <c r="G676" s="4"/>
      <c r="H676" s="4"/>
    </row>
    <row r="677" customFormat="false" ht="15.75" hidden="false" customHeight="false" outlineLevel="0" collapsed="false">
      <c r="G677" s="4"/>
      <c r="H677" s="4"/>
    </row>
    <row r="678" customFormat="false" ht="15.75" hidden="false" customHeight="false" outlineLevel="0" collapsed="false">
      <c r="G678" s="4"/>
      <c r="H678" s="4"/>
    </row>
    <row r="679" customFormat="false" ht="15.75" hidden="false" customHeight="false" outlineLevel="0" collapsed="false">
      <c r="G679" s="4"/>
      <c r="H679" s="4"/>
    </row>
    <row r="680" customFormat="false" ht="15.75" hidden="false" customHeight="false" outlineLevel="0" collapsed="false">
      <c r="G680" s="4"/>
      <c r="H680" s="4"/>
    </row>
    <row r="681" customFormat="false" ht="15.75" hidden="false" customHeight="false" outlineLevel="0" collapsed="false">
      <c r="G681" s="4"/>
      <c r="H681" s="4"/>
    </row>
    <row r="682" customFormat="false" ht="15.75" hidden="false" customHeight="false" outlineLevel="0" collapsed="false">
      <c r="G682" s="4"/>
      <c r="H682" s="4"/>
    </row>
    <row r="683" customFormat="false" ht="15.75" hidden="false" customHeight="false" outlineLevel="0" collapsed="false">
      <c r="G683" s="4"/>
      <c r="H683" s="4"/>
    </row>
    <row r="684" customFormat="false" ht="15.75" hidden="false" customHeight="false" outlineLevel="0" collapsed="false">
      <c r="G684" s="4"/>
      <c r="H684" s="4"/>
    </row>
    <row r="685" customFormat="false" ht="15.75" hidden="false" customHeight="false" outlineLevel="0" collapsed="false">
      <c r="G685" s="4"/>
      <c r="H685" s="4"/>
    </row>
    <row r="686" customFormat="false" ht="15.75" hidden="false" customHeight="false" outlineLevel="0" collapsed="false">
      <c r="G686" s="4"/>
      <c r="H686" s="4"/>
    </row>
    <row r="687" customFormat="false" ht="15.75" hidden="false" customHeight="false" outlineLevel="0" collapsed="false">
      <c r="G687" s="4"/>
      <c r="H687" s="4"/>
    </row>
    <row r="688" customFormat="false" ht="15.75" hidden="false" customHeight="false" outlineLevel="0" collapsed="false">
      <c r="G688" s="4"/>
      <c r="H688" s="4"/>
    </row>
    <row r="689" customFormat="false" ht="15.75" hidden="false" customHeight="false" outlineLevel="0" collapsed="false">
      <c r="G689" s="4"/>
      <c r="H689" s="4"/>
    </row>
    <row r="690" customFormat="false" ht="15.75" hidden="false" customHeight="false" outlineLevel="0" collapsed="false">
      <c r="G690" s="4"/>
      <c r="H690" s="4"/>
    </row>
    <row r="691" customFormat="false" ht="15.75" hidden="false" customHeight="false" outlineLevel="0" collapsed="false">
      <c r="G691" s="4"/>
      <c r="H691" s="4"/>
    </row>
    <row r="692" customFormat="false" ht="15.75" hidden="false" customHeight="false" outlineLevel="0" collapsed="false">
      <c r="G692" s="4"/>
      <c r="H692" s="4"/>
    </row>
    <row r="693" customFormat="false" ht="15.75" hidden="false" customHeight="false" outlineLevel="0" collapsed="false">
      <c r="G693" s="4"/>
      <c r="H693" s="4"/>
    </row>
    <row r="694" customFormat="false" ht="15.75" hidden="false" customHeight="false" outlineLevel="0" collapsed="false">
      <c r="G694" s="4"/>
      <c r="H694" s="4"/>
    </row>
    <row r="695" customFormat="false" ht="15.75" hidden="false" customHeight="false" outlineLevel="0" collapsed="false">
      <c r="G695" s="4"/>
      <c r="H695" s="4"/>
    </row>
    <row r="696" customFormat="false" ht="15.75" hidden="false" customHeight="false" outlineLevel="0" collapsed="false">
      <c r="G696" s="4"/>
      <c r="H696" s="4"/>
    </row>
    <row r="697" customFormat="false" ht="15.75" hidden="false" customHeight="false" outlineLevel="0" collapsed="false">
      <c r="G697" s="4"/>
      <c r="H697" s="4"/>
    </row>
    <row r="698" customFormat="false" ht="15.75" hidden="false" customHeight="false" outlineLevel="0" collapsed="false">
      <c r="G698" s="4"/>
      <c r="H698" s="4"/>
    </row>
    <row r="699" customFormat="false" ht="15.75" hidden="false" customHeight="false" outlineLevel="0" collapsed="false">
      <c r="G699" s="4"/>
      <c r="H699" s="4"/>
    </row>
  </sheetData>
  <conditionalFormatting sqref="A2:A1000 C2:C191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4" t="s">
        <v>1420</v>
      </c>
      <c r="B2" s="3" t="s">
        <v>1420</v>
      </c>
      <c r="C2" s="3" t="s">
        <v>1420</v>
      </c>
      <c r="D2" s="3" t="s">
        <v>1395</v>
      </c>
    </row>
    <row r="3" customFormat="false" ht="15.75" hidden="false" customHeight="false" outlineLevel="0" collapsed="false">
      <c r="A3" s="3" t="s">
        <v>1421</v>
      </c>
      <c r="B3" s="3" t="s">
        <v>1421</v>
      </c>
      <c r="C3" s="3" t="s">
        <v>1421</v>
      </c>
      <c r="D3" s="3" t="s">
        <v>1395</v>
      </c>
    </row>
    <row r="4" customFormat="false" ht="15.75" hidden="false" customHeight="false" outlineLevel="0" collapsed="false">
      <c r="A4" s="3" t="s">
        <v>1422</v>
      </c>
      <c r="B4" s="3" t="s">
        <v>1422</v>
      </c>
      <c r="C4" s="3" t="s">
        <v>1422</v>
      </c>
      <c r="D4" s="3" t="s">
        <v>1395</v>
      </c>
    </row>
    <row r="5" customFormat="false" ht="15.75" hidden="false" customHeight="false" outlineLevel="0" collapsed="false">
      <c r="A5" s="4"/>
      <c r="B5" s="3"/>
      <c r="C5" s="3"/>
      <c r="D5" s="3" t="s">
        <v>1395</v>
      </c>
    </row>
    <row r="6" customFormat="false" ht="15.75" hidden="false" customHeight="false" outlineLevel="0" collapsed="false">
      <c r="A6" s="4"/>
      <c r="B6" s="3"/>
      <c r="C6" s="3"/>
      <c r="D6" s="3" t="s">
        <v>1395</v>
      </c>
    </row>
    <row r="7" customFormat="false" ht="15.75" hidden="false" customHeight="false" outlineLevel="0" collapsed="false">
      <c r="A7" s="4"/>
      <c r="B7" s="3"/>
      <c r="C7" s="3"/>
      <c r="D7" s="3" t="s">
        <v>1395</v>
      </c>
    </row>
    <row r="8" customFormat="false" ht="15.75" hidden="false" customHeight="false" outlineLevel="0" collapsed="false">
      <c r="A8" s="4"/>
      <c r="B8" s="3"/>
      <c r="C8" s="3"/>
      <c r="D8" s="3" t="s">
        <v>1395</v>
      </c>
    </row>
    <row r="9" customFormat="false" ht="15.75" hidden="false" customHeight="false" outlineLevel="0" collapsed="false">
      <c r="A9" s="4"/>
      <c r="B9" s="3"/>
      <c r="C9" s="3"/>
      <c r="D9" s="3" t="s">
        <v>1395</v>
      </c>
    </row>
    <row r="10" customFormat="false" ht="15.75" hidden="false" customHeight="false" outlineLevel="0" collapsed="false">
      <c r="A10" s="4"/>
      <c r="B10" s="3"/>
      <c r="C10" s="3"/>
      <c r="D10" s="3" t="s">
        <v>1395</v>
      </c>
    </row>
    <row r="11" customFormat="false" ht="15.75" hidden="false" customHeight="false" outlineLevel="0" collapsed="false">
      <c r="A11" s="4"/>
      <c r="B11" s="3"/>
      <c r="C11" s="3"/>
      <c r="D11" s="3" t="s">
        <v>1395</v>
      </c>
    </row>
    <row r="12" customFormat="false" ht="15.75" hidden="false" customHeight="false" outlineLevel="0" collapsed="false">
      <c r="A12" s="4"/>
      <c r="B12" s="3"/>
      <c r="C12" s="3"/>
      <c r="D12" s="3" t="s">
        <v>1395</v>
      </c>
    </row>
    <row r="13" customFormat="false" ht="15.75" hidden="false" customHeight="false" outlineLevel="0" collapsed="false">
      <c r="A13" s="4"/>
      <c r="B13" s="3"/>
      <c r="C13" s="3"/>
      <c r="D13" s="3" t="s">
        <v>1395</v>
      </c>
    </row>
    <row r="14" customFormat="false" ht="15.75" hidden="false" customHeight="false" outlineLevel="0" collapsed="false">
      <c r="A14" s="4"/>
      <c r="B14" s="3"/>
      <c r="C14" s="3"/>
      <c r="D14" s="3" t="s">
        <v>1395</v>
      </c>
    </row>
    <row r="15" customFormat="false" ht="15.75" hidden="false" customHeight="false" outlineLevel="0" collapsed="false">
      <c r="A15" s="4"/>
      <c r="B15" s="3"/>
      <c r="C15" s="3"/>
      <c r="D15" s="3" t="s">
        <v>1395</v>
      </c>
    </row>
    <row r="16" customFormat="false" ht="15.75" hidden="false" customHeight="false" outlineLevel="0" collapsed="false">
      <c r="A16" s="4"/>
      <c r="B16" s="3"/>
      <c r="C16" s="3"/>
      <c r="D16" s="3" t="s">
        <v>1395</v>
      </c>
    </row>
    <row r="17" customFormat="false" ht="15.75" hidden="false" customHeight="false" outlineLevel="0" collapsed="false">
      <c r="A17" s="4"/>
      <c r="B17" s="3"/>
      <c r="C17" s="3"/>
      <c r="D17" s="3" t="s">
        <v>1395</v>
      </c>
    </row>
    <row r="18" customFormat="false" ht="15.75" hidden="false" customHeight="false" outlineLevel="0" collapsed="false">
      <c r="A18" s="4"/>
      <c r="B18" s="3"/>
      <c r="C18" s="3"/>
      <c r="D18" s="3" t="s">
        <v>1395</v>
      </c>
    </row>
    <row r="19" customFormat="false" ht="15.75" hidden="false" customHeight="false" outlineLevel="0" collapsed="false">
      <c r="A19" s="4"/>
      <c r="B19" s="3"/>
      <c r="C19" s="3"/>
      <c r="D19" s="3" t="s">
        <v>1395</v>
      </c>
    </row>
    <row r="20" customFormat="false" ht="15.75" hidden="false" customHeight="false" outlineLevel="0" collapsed="false">
      <c r="A20" s="4"/>
      <c r="B20" s="3"/>
      <c r="C20" s="3"/>
      <c r="D20" s="3" t="s">
        <v>1395</v>
      </c>
    </row>
    <row r="21" customFormat="false" ht="15.75" hidden="false" customHeight="false" outlineLevel="0" collapsed="false">
      <c r="A21" s="4"/>
      <c r="B21" s="3"/>
      <c r="C21" s="3"/>
      <c r="D21" s="3" t="s">
        <v>1395</v>
      </c>
    </row>
    <row r="22" customFormat="false" ht="15.75" hidden="false" customHeight="false" outlineLevel="0" collapsed="false">
      <c r="A22" s="4"/>
      <c r="B22" s="3"/>
      <c r="C22" s="3"/>
      <c r="D22" s="3" t="s">
        <v>1395</v>
      </c>
    </row>
    <row r="23" customFormat="false" ht="15.75" hidden="false" customHeight="false" outlineLevel="0" collapsed="false">
      <c r="A23" s="4"/>
      <c r="B23" s="3"/>
      <c r="C23" s="3"/>
      <c r="D23" s="3" t="s">
        <v>1395</v>
      </c>
    </row>
    <row r="24" customFormat="false" ht="15.75" hidden="false" customHeight="false" outlineLevel="0" collapsed="false">
      <c r="A24" s="4"/>
      <c r="B24" s="3"/>
      <c r="C24" s="3"/>
      <c r="D24" s="3" t="s">
        <v>1395</v>
      </c>
    </row>
    <row r="25" customFormat="false" ht="15.75" hidden="false" customHeight="false" outlineLevel="0" collapsed="false">
      <c r="A25" s="4"/>
      <c r="B25" s="3"/>
      <c r="C25" s="3"/>
      <c r="D25" s="3" t="s">
        <v>1395</v>
      </c>
    </row>
    <row r="26" customFormat="false" ht="15.75" hidden="false" customHeight="false" outlineLevel="0" collapsed="false">
      <c r="A26" s="4"/>
      <c r="B26" s="3"/>
      <c r="C26" s="3"/>
    </row>
    <row r="27" customFormat="false" ht="15.75" hidden="false" customHeight="false" outlineLevel="0" collapsed="false">
      <c r="A27" s="4"/>
      <c r="B27" s="3"/>
      <c r="C27" s="3"/>
    </row>
    <row r="28" customFormat="false" ht="15.75" hidden="false" customHeight="false" outlineLevel="0" collapsed="false">
      <c r="A28" s="4"/>
      <c r="B28" s="3"/>
      <c r="C28" s="3"/>
    </row>
    <row r="29" customFormat="false" ht="15.75" hidden="false" customHeight="false" outlineLevel="0" collapsed="false">
      <c r="A29" s="4"/>
      <c r="B29" s="3"/>
      <c r="C29" s="3"/>
    </row>
    <row r="30" customFormat="false" ht="15.75" hidden="false" customHeight="false" outlineLevel="0" collapsed="false">
      <c r="A30" s="4"/>
      <c r="B30" s="3"/>
      <c r="C30" s="3"/>
    </row>
    <row r="31" customFormat="false" ht="15.75" hidden="false" customHeight="false" outlineLevel="0" collapsed="false">
      <c r="A31" s="4"/>
      <c r="B31" s="3"/>
      <c r="C31" s="3"/>
    </row>
    <row r="32" customFormat="false" ht="15.75" hidden="false" customHeight="false" outlineLevel="0" collapsed="false">
      <c r="A32" s="4"/>
      <c r="B32" s="3"/>
      <c r="C32" s="3"/>
    </row>
    <row r="33" customFormat="false" ht="15.75" hidden="false" customHeight="false" outlineLevel="0" collapsed="false">
      <c r="A33" s="4"/>
      <c r="B33" s="3"/>
      <c r="C33" s="3"/>
    </row>
    <row r="34" customFormat="false" ht="15.75" hidden="false" customHeight="false" outlineLevel="0" collapsed="false">
      <c r="A34" s="4"/>
      <c r="B34" s="3"/>
      <c r="C34" s="3"/>
    </row>
    <row r="35" customFormat="false" ht="15.75" hidden="false" customHeight="false" outlineLevel="0" collapsed="false">
      <c r="A35" s="4"/>
    </row>
    <row r="36" customFormat="false" ht="15.75" hidden="false" customHeight="false" outlineLevel="0" collapsed="false">
      <c r="A36" s="4"/>
    </row>
    <row r="37" customFormat="false" ht="15.75" hidden="false" customHeight="false" outlineLevel="0" collapsed="false">
      <c r="A37" s="4"/>
      <c r="C37" s="3"/>
    </row>
    <row r="38" customFormat="false" ht="15.75" hidden="false" customHeight="false" outlineLevel="0" collapsed="false">
      <c r="A38" s="4"/>
      <c r="C38" s="3"/>
    </row>
    <row r="39" customFormat="false" ht="15.75" hidden="false" customHeight="false" outlineLevel="0" collapsed="false">
      <c r="A39" s="4"/>
      <c r="C39" s="3"/>
    </row>
    <row r="40" customFormat="false" ht="15.75" hidden="false" customHeight="false" outlineLevel="0" collapsed="false">
      <c r="A40" s="4"/>
    </row>
    <row r="41" customFormat="false" ht="15.75" hidden="false" customHeight="false" outlineLevel="0" collapsed="false">
      <c r="A41" s="4"/>
      <c r="B41" s="3"/>
      <c r="C41" s="3"/>
    </row>
    <row r="42" customFormat="false" ht="15.75" hidden="false" customHeight="false" outlineLevel="0" collapsed="false">
      <c r="A42" s="4"/>
      <c r="B42" s="3"/>
      <c r="C42" s="3"/>
    </row>
    <row r="43" customFormat="false" ht="15.75" hidden="false" customHeight="false" outlineLevel="0" collapsed="false">
      <c r="A43" s="4"/>
      <c r="B43" s="3"/>
      <c r="C43" s="3"/>
    </row>
    <row r="44" customFormat="false" ht="15.75" hidden="false" customHeight="false" outlineLevel="0" collapsed="false">
      <c r="A44" s="4"/>
      <c r="B44" s="3"/>
      <c r="C44" s="3"/>
    </row>
    <row r="45" customFormat="false" ht="15.75" hidden="false" customHeight="false" outlineLevel="0" collapsed="false">
      <c r="A45" s="4"/>
      <c r="B45" s="3"/>
    </row>
    <row r="46" customFormat="false" ht="15.75" hidden="false" customHeight="false" outlineLevel="0" collapsed="false">
      <c r="A46" s="4"/>
      <c r="B46" s="3"/>
      <c r="C46" s="3"/>
    </row>
    <row r="47" customFormat="false" ht="15.75" hidden="false" customHeight="false" outlineLevel="0" collapsed="false">
      <c r="A47" s="4"/>
      <c r="B47" s="3"/>
      <c r="C47" s="3"/>
    </row>
    <row r="48" customFormat="false" ht="15.75" hidden="false" customHeight="false" outlineLevel="0" collapsed="false">
      <c r="A48" s="4"/>
      <c r="B48" s="3"/>
      <c r="C48" s="3"/>
    </row>
    <row r="49" customFormat="false" ht="15.75" hidden="false" customHeight="false" outlineLevel="0" collapsed="false">
      <c r="A49" s="4"/>
      <c r="B49" s="3"/>
    </row>
    <row r="50" customFormat="false" ht="15.75" hidden="false" customHeight="false" outlineLevel="0" collapsed="false">
      <c r="A50" s="4"/>
      <c r="B50" s="3"/>
      <c r="C50" s="3"/>
    </row>
    <row r="51" customFormat="false" ht="15.75" hidden="false" customHeight="false" outlineLevel="0" collapsed="false">
      <c r="A51" s="4"/>
      <c r="B51" s="3"/>
    </row>
    <row r="52" customFormat="false" ht="15.75" hidden="false" customHeight="false" outlineLevel="0" collapsed="false">
      <c r="A52" s="4"/>
      <c r="B52" s="3"/>
    </row>
    <row r="53" customFormat="false" ht="15.75" hidden="false" customHeight="false" outlineLevel="0" collapsed="false">
      <c r="A53" s="4"/>
      <c r="B53" s="3"/>
      <c r="C53" s="3"/>
    </row>
    <row r="54" customFormat="false" ht="15.75" hidden="false" customHeight="false" outlineLevel="0" collapsed="false">
      <c r="A54" s="4"/>
      <c r="B54" s="3"/>
      <c r="C54" s="3"/>
    </row>
    <row r="55" customFormat="false" ht="15.75" hidden="false" customHeight="false" outlineLevel="0" collapsed="false">
      <c r="A55" s="4"/>
      <c r="B55" s="3"/>
      <c r="C55" s="3"/>
    </row>
    <row r="56" customFormat="false" ht="15.75" hidden="false" customHeight="false" outlineLevel="0" collapsed="false">
      <c r="A56" s="4"/>
      <c r="B56" s="3"/>
      <c r="C56" s="3"/>
    </row>
    <row r="57" customFormat="false" ht="15.75" hidden="false" customHeight="false" outlineLevel="0" collapsed="false">
      <c r="A57" s="4"/>
      <c r="B57" s="3"/>
      <c r="C57" s="3"/>
    </row>
    <row r="58" customFormat="false" ht="15.75" hidden="false" customHeight="false" outlineLevel="0" collapsed="false">
      <c r="A58" s="4"/>
      <c r="B58" s="3"/>
      <c r="C58" s="3"/>
    </row>
    <row r="59" customFormat="false" ht="15.75" hidden="false" customHeight="false" outlineLevel="0" collapsed="false">
      <c r="A59" s="4"/>
      <c r="B59" s="3"/>
      <c r="C59" s="3"/>
    </row>
    <row r="60" customFormat="false" ht="15.75" hidden="false" customHeight="false" outlineLevel="0" collapsed="false">
      <c r="A60" s="4"/>
      <c r="B60" s="3"/>
      <c r="C60" s="3"/>
    </row>
    <row r="61" customFormat="false" ht="15.75" hidden="false" customHeight="false" outlineLevel="0" collapsed="false">
      <c r="A61" s="4"/>
      <c r="B61" s="3"/>
      <c r="C61" s="3"/>
    </row>
    <row r="62" customFormat="false" ht="15.75" hidden="false" customHeight="false" outlineLevel="0" collapsed="false">
      <c r="A62" s="4"/>
      <c r="B62" s="3"/>
      <c r="C62" s="3"/>
    </row>
    <row r="63" customFormat="false" ht="15.75" hidden="false" customHeight="false" outlineLevel="0" collapsed="false">
      <c r="A63" s="4"/>
      <c r="B63" s="3"/>
      <c r="C63" s="3"/>
    </row>
    <row r="64" customFormat="false" ht="15.75" hidden="false" customHeight="false" outlineLevel="0" collapsed="false">
      <c r="A64" s="4"/>
      <c r="B64" s="3"/>
      <c r="C64" s="3"/>
    </row>
    <row r="65" customFormat="false" ht="15.75" hidden="false" customHeight="false" outlineLevel="0" collapsed="false">
      <c r="A65" s="4"/>
      <c r="B65" s="3"/>
      <c r="C65" s="3"/>
    </row>
    <row r="66" customFormat="false" ht="15.75" hidden="false" customHeight="false" outlineLevel="0" collapsed="false">
      <c r="A66" s="4"/>
      <c r="B66" s="3"/>
      <c r="C66" s="3"/>
    </row>
    <row r="67" customFormat="false" ht="15.75" hidden="false" customHeight="false" outlineLevel="0" collapsed="false">
      <c r="A67" s="4"/>
      <c r="B67" s="3"/>
      <c r="C67" s="3"/>
    </row>
    <row r="68" customFormat="false" ht="15.75" hidden="false" customHeight="false" outlineLevel="0" collapsed="false">
      <c r="A68" s="4"/>
      <c r="B68" s="3"/>
      <c r="C68" s="3"/>
    </row>
    <row r="69" customFormat="false" ht="15.75" hidden="false" customHeight="false" outlineLevel="0" collapsed="false">
      <c r="A69" s="4"/>
      <c r="B69" s="3"/>
      <c r="C69" s="3"/>
    </row>
    <row r="70" customFormat="false" ht="15.75" hidden="false" customHeight="false" outlineLevel="0" collapsed="false">
      <c r="A70" s="4"/>
      <c r="B70" s="3"/>
      <c r="C70" s="3"/>
    </row>
    <row r="71" customFormat="false" ht="15.75" hidden="false" customHeight="false" outlineLevel="0" collapsed="false">
      <c r="A71" s="4"/>
      <c r="B71" s="3"/>
      <c r="C71" s="3"/>
    </row>
    <row r="72" customFormat="false" ht="15.75" hidden="false" customHeight="false" outlineLevel="0" collapsed="false">
      <c r="A72" s="4"/>
      <c r="B72" s="3"/>
      <c r="C72" s="3"/>
    </row>
    <row r="73" customFormat="false" ht="15.75" hidden="false" customHeight="false" outlineLevel="0" collapsed="false">
      <c r="A73" s="4"/>
      <c r="B73" s="3"/>
      <c r="C73" s="3"/>
    </row>
    <row r="74" customFormat="false" ht="15.75" hidden="false" customHeight="false" outlineLevel="0" collapsed="false">
      <c r="A74" s="4"/>
      <c r="B74" s="3"/>
      <c r="C74" s="3"/>
    </row>
    <row r="75" customFormat="false" ht="15.75" hidden="false" customHeight="false" outlineLevel="0" collapsed="false">
      <c r="A75" s="4"/>
      <c r="B75" s="3"/>
      <c r="C75" s="3"/>
    </row>
    <row r="76" customFormat="false" ht="15.75" hidden="false" customHeight="false" outlineLevel="0" collapsed="false">
      <c r="A76" s="4"/>
      <c r="B76" s="3"/>
      <c r="C76" s="3"/>
    </row>
    <row r="77" customFormat="false" ht="15.75" hidden="false" customHeight="false" outlineLevel="0" collapsed="false">
      <c r="A77" s="4"/>
    </row>
    <row r="78" customFormat="false" ht="15.75" hidden="false" customHeight="false" outlineLevel="0" collapsed="false">
      <c r="A78" s="4"/>
    </row>
    <row r="79" customFormat="false" ht="15.75" hidden="false" customHeight="false" outlineLevel="0" collapsed="false">
      <c r="A79" s="4"/>
    </row>
    <row r="80" customFormat="false" ht="15.75" hidden="false" customHeight="false" outlineLevel="0" collapsed="false">
      <c r="A80" s="4"/>
      <c r="B80" s="3"/>
      <c r="C80" s="3"/>
    </row>
    <row r="81" customFormat="false" ht="15.75" hidden="false" customHeight="false" outlineLevel="0" collapsed="false">
      <c r="A81" s="4"/>
    </row>
    <row r="82" customFormat="false" ht="15.75" hidden="false" customHeight="false" outlineLevel="0" collapsed="false">
      <c r="A82" s="4"/>
    </row>
    <row r="83" customFormat="false" ht="15.75" hidden="false" customHeight="false" outlineLevel="0" collapsed="false">
      <c r="A83" s="4"/>
    </row>
    <row r="84" customFormat="false" ht="15.75" hidden="false" customHeight="false" outlineLevel="0" collapsed="false">
      <c r="A84" s="4"/>
    </row>
    <row r="85" customFormat="false" ht="15.75" hidden="false" customHeight="false" outlineLevel="0" collapsed="false">
      <c r="A85" s="4"/>
    </row>
    <row r="86" customFormat="false" ht="15.75" hidden="false" customHeight="false" outlineLevel="0" collapsed="false">
      <c r="A86" s="4"/>
    </row>
    <row r="87" customFormat="false" ht="15.75" hidden="false" customHeight="false" outlineLevel="0" collapsed="false">
      <c r="A87" s="4"/>
      <c r="C87" s="3"/>
    </row>
    <row r="88" customFormat="false" ht="15.75" hidden="false" customHeight="false" outlineLevel="0" collapsed="false">
      <c r="A88" s="4"/>
      <c r="C88" s="3"/>
    </row>
    <row r="89" customFormat="false" ht="15.75" hidden="false" customHeight="false" outlineLevel="0" collapsed="false">
      <c r="A89" s="4"/>
    </row>
    <row r="90" customFormat="false" ht="15.75" hidden="false" customHeight="false" outlineLevel="0" collapsed="false">
      <c r="A90" s="4"/>
    </row>
    <row r="91" customFormat="false" ht="15.75" hidden="false" customHeight="false" outlineLevel="0" collapsed="false">
      <c r="A91" s="4"/>
    </row>
    <row r="92" customFormat="false" ht="15.75" hidden="false" customHeight="false" outlineLevel="0" collapsed="false">
      <c r="A92" s="4"/>
    </row>
    <row r="93" customFormat="false" ht="15.75" hidden="false" customHeight="false" outlineLevel="0" collapsed="false">
      <c r="A93" s="4"/>
    </row>
    <row r="94" customFormat="false" ht="15.75" hidden="false" customHeight="false" outlineLevel="0" collapsed="false">
      <c r="A94" s="4"/>
    </row>
    <row r="95" customFormat="false" ht="15.75" hidden="false" customHeight="false" outlineLevel="0" collapsed="false">
      <c r="A95" s="4"/>
    </row>
    <row r="96" customFormat="false" ht="15.75" hidden="false" customHeight="false" outlineLevel="0" collapsed="false">
      <c r="A96" s="4"/>
      <c r="C96" s="3"/>
    </row>
    <row r="97" customFormat="false" ht="15.75" hidden="false" customHeight="false" outlineLevel="0" collapsed="false">
      <c r="A97" s="4"/>
      <c r="C97" s="3"/>
    </row>
    <row r="98" customFormat="false" ht="15.75" hidden="false" customHeight="false" outlineLevel="0" collapsed="false">
      <c r="A98" s="4"/>
      <c r="C98" s="3"/>
    </row>
    <row r="99" customFormat="false" ht="15.75" hidden="false" customHeight="false" outlineLevel="0" collapsed="false">
      <c r="A99" s="4"/>
      <c r="C99" s="3"/>
    </row>
    <row r="100" customFormat="false" ht="15.75" hidden="false" customHeight="false" outlineLevel="0" collapsed="false">
      <c r="A100" s="4"/>
      <c r="C100" s="3"/>
    </row>
    <row r="101" customFormat="false" ht="15.75" hidden="false" customHeight="false" outlineLevel="0" collapsed="false">
      <c r="A101" s="4"/>
      <c r="C101" s="3"/>
    </row>
    <row r="102" customFormat="false" ht="15.75" hidden="false" customHeight="false" outlineLevel="0" collapsed="false">
      <c r="A102" s="4"/>
    </row>
    <row r="103" customFormat="false" ht="15.75" hidden="false" customHeight="false" outlineLevel="0" collapsed="false">
      <c r="A103" s="4"/>
      <c r="B103" s="3"/>
    </row>
    <row r="104" customFormat="false" ht="15.75" hidden="false" customHeight="false" outlineLevel="0" collapsed="false">
      <c r="A104" s="4"/>
    </row>
    <row r="105" customFormat="false" ht="15.75" hidden="false" customHeight="false" outlineLevel="0" collapsed="false">
      <c r="A105" s="4"/>
      <c r="B105" s="3"/>
    </row>
    <row r="106" customFormat="false" ht="15.75" hidden="false" customHeight="false" outlineLevel="0" collapsed="false">
      <c r="A106" s="4"/>
      <c r="B106" s="3"/>
    </row>
    <row r="107" customFormat="false" ht="15.75" hidden="false" customHeight="false" outlineLevel="0" collapsed="false">
      <c r="A107" s="4"/>
      <c r="C107" s="3"/>
    </row>
    <row r="108" customFormat="false" ht="15.75" hidden="false" customHeight="false" outlineLevel="0" collapsed="false">
      <c r="A108" s="4"/>
      <c r="C108" s="3"/>
    </row>
    <row r="109" customFormat="false" ht="15.75" hidden="false" customHeight="false" outlineLevel="0" collapsed="false">
      <c r="A109" s="4"/>
      <c r="C109" s="3"/>
    </row>
    <row r="110" customFormat="false" ht="15.75" hidden="false" customHeight="false" outlineLevel="0" collapsed="false">
      <c r="A110" s="4"/>
      <c r="C110" s="3"/>
    </row>
    <row r="111" customFormat="false" ht="15.75" hidden="false" customHeight="false" outlineLevel="0" collapsed="false">
      <c r="A111" s="4"/>
      <c r="C111" s="3"/>
    </row>
    <row r="112" customFormat="false" ht="15.75" hidden="false" customHeight="false" outlineLevel="0" collapsed="false">
      <c r="A112" s="4"/>
      <c r="C112" s="3"/>
    </row>
    <row r="113" customFormat="false" ht="15.75" hidden="false" customHeight="false" outlineLevel="0" collapsed="false">
      <c r="A113" s="4"/>
      <c r="C113" s="3"/>
    </row>
    <row r="114" customFormat="false" ht="15.75" hidden="false" customHeight="false" outlineLevel="0" collapsed="false">
      <c r="A114" s="4"/>
    </row>
    <row r="115" customFormat="false" ht="15.75" hidden="false" customHeight="false" outlineLevel="0" collapsed="false">
      <c r="A115" s="4"/>
      <c r="C115" s="3"/>
    </row>
    <row r="116" customFormat="false" ht="15.75" hidden="false" customHeight="false" outlineLevel="0" collapsed="false">
      <c r="A116" s="4"/>
      <c r="C116" s="3"/>
    </row>
    <row r="117" customFormat="false" ht="15.75" hidden="false" customHeight="false" outlineLevel="0" collapsed="false">
      <c r="A117" s="4"/>
    </row>
    <row r="118" customFormat="false" ht="15.75" hidden="false" customHeight="false" outlineLevel="0" collapsed="false">
      <c r="A118" s="4"/>
    </row>
    <row r="119" customFormat="false" ht="15.75" hidden="false" customHeight="false" outlineLevel="0" collapsed="false">
      <c r="A119" s="4"/>
      <c r="C119" s="3"/>
    </row>
    <row r="120" customFormat="false" ht="15.75" hidden="false" customHeight="false" outlineLevel="0" collapsed="false">
      <c r="A120" s="4"/>
      <c r="C120" s="3"/>
    </row>
    <row r="121" customFormat="false" ht="15.75" hidden="false" customHeight="false" outlineLevel="0" collapsed="false">
      <c r="A121" s="4"/>
      <c r="C121" s="3"/>
    </row>
    <row r="122" customFormat="false" ht="15.75" hidden="false" customHeight="false" outlineLevel="0" collapsed="false">
      <c r="A122" s="4"/>
      <c r="B122" s="3"/>
      <c r="C122" s="3"/>
    </row>
    <row r="123" customFormat="false" ht="15.75" hidden="false" customHeight="false" outlineLevel="0" collapsed="false">
      <c r="A123" s="4"/>
      <c r="B123" s="3"/>
      <c r="C123" s="3"/>
    </row>
    <row r="124" customFormat="false" ht="15.75" hidden="false" customHeight="false" outlineLevel="0" collapsed="false">
      <c r="A124" s="4"/>
    </row>
    <row r="125" customFormat="false" ht="15.75" hidden="false" customHeight="false" outlineLevel="0" collapsed="false">
      <c r="A125" s="4"/>
    </row>
    <row r="126" customFormat="false" ht="15.75" hidden="false" customHeight="false" outlineLevel="0" collapsed="false">
      <c r="A126" s="4"/>
    </row>
    <row r="127" customFormat="false" ht="15.75" hidden="false" customHeight="false" outlineLevel="0" collapsed="false">
      <c r="A127" s="4"/>
    </row>
    <row r="128" customFormat="false" ht="15.75" hidden="false" customHeight="false" outlineLevel="0" collapsed="false">
      <c r="A128" s="4"/>
    </row>
    <row r="129" customFormat="false" ht="15.75" hidden="false" customHeight="false" outlineLevel="0" collapsed="false">
      <c r="A129" s="4"/>
    </row>
    <row r="130" customFormat="false" ht="15.75" hidden="false" customHeight="false" outlineLevel="0" collapsed="false">
      <c r="A130" s="4"/>
    </row>
    <row r="131" customFormat="false" ht="15.75" hidden="false" customHeight="false" outlineLevel="0" collapsed="false">
      <c r="A131" s="4"/>
    </row>
    <row r="132" customFormat="false" ht="15.75" hidden="false" customHeight="false" outlineLevel="0" collapsed="false">
      <c r="A132" s="4"/>
    </row>
    <row r="135" customFormat="false" ht="15.75" hidden="false" customHeight="false" outlineLevel="0" collapsed="false">
      <c r="A135" s="4"/>
    </row>
    <row r="136" customFormat="false" ht="15.75" hidden="false" customHeight="false" outlineLevel="0" collapsed="false">
      <c r="A136" s="4"/>
    </row>
    <row r="137" customFormat="false" ht="15.75" hidden="false" customHeight="false" outlineLevel="0" collapsed="false">
      <c r="A137" s="4"/>
    </row>
    <row r="138" customFormat="false" ht="15.75" hidden="false" customHeight="false" outlineLevel="0" collapsed="false">
      <c r="A138" s="4"/>
    </row>
    <row r="139" customFormat="false" ht="15.75" hidden="false" customHeight="false" outlineLevel="0" collapsed="false">
      <c r="A139" s="4"/>
    </row>
    <row r="140" customFormat="false" ht="15.75" hidden="false" customHeight="false" outlineLevel="0" collapsed="false">
      <c r="A140" s="4"/>
      <c r="B140" s="3"/>
    </row>
    <row r="141" customFormat="false" ht="15.75" hidden="false" customHeight="false" outlineLevel="0" collapsed="false">
      <c r="A141" s="4"/>
    </row>
    <row r="142" customFormat="false" ht="15.75" hidden="false" customHeight="false" outlineLevel="0" collapsed="false">
      <c r="A142" s="4"/>
    </row>
    <row r="143" customFormat="false" ht="15.75" hidden="false" customHeight="false" outlineLevel="0" collapsed="false">
      <c r="A143" s="4"/>
      <c r="B143" s="3"/>
    </row>
    <row r="144" customFormat="false" ht="15.75" hidden="false" customHeight="false" outlineLevel="0" collapsed="false">
      <c r="A144" s="4"/>
      <c r="B144" s="3"/>
      <c r="C144" s="3"/>
    </row>
    <row r="145" customFormat="false" ht="15.75" hidden="false" customHeight="false" outlineLevel="0" collapsed="false">
      <c r="A145" s="4"/>
      <c r="B145" s="3"/>
      <c r="C145" s="3"/>
    </row>
    <row r="146" customFormat="false" ht="15.75" hidden="false" customHeight="false" outlineLevel="0" collapsed="false">
      <c r="A146" s="4"/>
      <c r="B146" s="3"/>
    </row>
    <row r="147" customFormat="false" ht="15.75" hidden="false" customHeight="false" outlineLevel="0" collapsed="false">
      <c r="A147" s="4"/>
      <c r="B147" s="3"/>
      <c r="C147" s="3"/>
    </row>
    <row r="148" customFormat="false" ht="15.75" hidden="false" customHeight="false" outlineLevel="0" collapsed="false">
      <c r="A148" s="4"/>
      <c r="B148" s="3"/>
      <c r="C148" s="3"/>
    </row>
    <row r="149" customFormat="false" ht="15.75" hidden="false" customHeight="false" outlineLevel="0" collapsed="false">
      <c r="A149" s="4"/>
      <c r="B149" s="3"/>
      <c r="C149" s="3"/>
    </row>
    <row r="150" customFormat="false" ht="15.75" hidden="false" customHeight="false" outlineLevel="0" collapsed="false">
      <c r="A150" s="4"/>
      <c r="B150" s="3"/>
      <c r="C150" s="3"/>
    </row>
    <row r="151" customFormat="false" ht="15.75" hidden="false" customHeight="false" outlineLevel="0" collapsed="false">
      <c r="A151" s="4"/>
      <c r="B151" s="3"/>
      <c r="C151" s="3"/>
    </row>
    <row r="152" customFormat="false" ht="15.75" hidden="false" customHeight="false" outlineLevel="0" collapsed="false">
      <c r="A152" s="4"/>
      <c r="B152" s="3"/>
    </row>
    <row r="153" customFormat="false" ht="15.75" hidden="false" customHeight="false" outlineLevel="0" collapsed="false">
      <c r="A153" s="3"/>
      <c r="B153" s="3"/>
    </row>
    <row r="154" customFormat="false" ht="15.75" hidden="false" customHeight="false" outlineLevel="0" collapsed="false">
      <c r="A154" s="3"/>
      <c r="B154" s="3"/>
    </row>
    <row r="155" customFormat="false" ht="15.75" hidden="false" customHeight="false" outlineLevel="0" collapsed="false">
      <c r="A155" s="4"/>
    </row>
    <row r="156" customFormat="false" ht="15.75" hidden="false" customHeight="false" outlineLevel="0" collapsed="false">
      <c r="A156" s="4"/>
      <c r="B156" s="3"/>
    </row>
    <row r="157" customFormat="false" ht="15.75" hidden="false" customHeight="false" outlineLevel="0" collapsed="false">
      <c r="A157" s="4"/>
      <c r="B157" s="3"/>
      <c r="C157" s="3"/>
    </row>
    <row r="158" customFormat="false" ht="15.75" hidden="false" customHeight="false" outlineLevel="0" collapsed="false">
      <c r="A158" s="4"/>
      <c r="B158" s="3"/>
      <c r="C158" s="3"/>
    </row>
    <row r="159" customFormat="false" ht="15.75" hidden="false" customHeight="false" outlineLevel="0" collapsed="false">
      <c r="A159" s="4"/>
    </row>
    <row r="160" customFormat="false" ht="15.75" hidden="false" customHeight="false" outlineLevel="0" collapsed="false">
      <c r="A160" s="4"/>
      <c r="B160" s="3"/>
    </row>
    <row r="161" customFormat="false" ht="15.75" hidden="false" customHeight="false" outlineLevel="0" collapsed="false">
      <c r="A161" s="4"/>
    </row>
    <row r="162" customFormat="false" ht="15.75" hidden="false" customHeight="false" outlineLevel="0" collapsed="false">
      <c r="A162" s="4"/>
    </row>
    <row r="163" customFormat="false" ht="15.75" hidden="false" customHeight="false" outlineLevel="0" collapsed="false">
      <c r="A163" s="4"/>
      <c r="C163" s="3"/>
    </row>
    <row r="164" customFormat="false" ht="15.75" hidden="false" customHeight="false" outlineLevel="0" collapsed="false">
      <c r="A164" s="4"/>
      <c r="B164" s="3"/>
    </row>
    <row r="165" customFormat="false" ht="15.75" hidden="false" customHeight="false" outlineLevel="0" collapsed="false">
      <c r="A165" s="3"/>
      <c r="C165" s="3"/>
    </row>
    <row r="166" customFormat="false" ht="15.75" hidden="false" customHeight="false" outlineLevel="0" collapsed="false">
      <c r="A166" s="3"/>
      <c r="B166" s="3"/>
      <c r="C166" s="3"/>
    </row>
    <row r="167" customFormat="false" ht="15.75" hidden="false" customHeight="false" outlineLevel="0" collapsed="false">
      <c r="A167" s="3"/>
      <c r="B167" s="3"/>
      <c r="C167" s="3"/>
    </row>
    <row r="168" customFormat="false" ht="15.75" hidden="false" customHeight="false" outlineLevel="0" collapsed="false">
      <c r="A168" s="3"/>
      <c r="B168" s="3"/>
      <c r="C168" s="3"/>
    </row>
    <row r="169" customFormat="false" ht="15.75" hidden="false" customHeight="false" outlineLevel="0" collapsed="false">
      <c r="A169" s="3"/>
      <c r="B169" s="3"/>
      <c r="C169" s="3"/>
    </row>
    <row r="170" customFormat="false" ht="15.75" hidden="false" customHeight="false" outlineLevel="0" collapsed="false">
      <c r="A170" s="3"/>
      <c r="B170" s="3"/>
      <c r="C170" s="3"/>
    </row>
    <row r="171" customFormat="false" ht="15.75" hidden="false" customHeight="false" outlineLevel="0" collapsed="false">
      <c r="A171" s="3"/>
      <c r="B171" s="3"/>
      <c r="C171" s="3"/>
    </row>
    <row r="172" customFormat="false" ht="15.75" hidden="false" customHeight="false" outlineLevel="0" collapsed="false">
      <c r="A172" s="3"/>
      <c r="B172" s="3"/>
      <c r="C172" s="3"/>
    </row>
    <row r="173" customFormat="false" ht="15.75" hidden="false" customHeight="false" outlineLevel="0" collapsed="false">
      <c r="A173" s="3"/>
      <c r="B173" s="3"/>
      <c r="C173" s="3"/>
    </row>
    <row r="174" customFormat="false" ht="15.75" hidden="false" customHeight="false" outlineLevel="0" collapsed="false">
      <c r="A174" s="3"/>
      <c r="B174" s="3"/>
      <c r="C174" s="3"/>
    </row>
    <row r="175" customFormat="false" ht="15.75" hidden="false" customHeight="false" outlineLevel="0" collapsed="false">
      <c r="A175" s="3"/>
      <c r="B175" s="3"/>
      <c r="C175" s="3"/>
    </row>
    <row r="176" customFormat="false" ht="15.75" hidden="false" customHeight="false" outlineLevel="0" collapsed="false">
      <c r="A176" s="3"/>
      <c r="B176" s="3"/>
      <c r="C176" s="3"/>
    </row>
    <row r="177" customFormat="false" ht="15.75" hidden="false" customHeight="false" outlineLevel="0" collapsed="false">
      <c r="A177" s="3"/>
      <c r="B177" s="3"/>
      <c r="C177" s="3"/>
    </row>
    <row r="178" customFormat="false" ht="15.75" hidden="false" customHeight="false" outlineLevel="0" collapsed="false">
      <c r="A178" s="4"/>
    </row>
    <row r="179" customFormat="false" ht="15.75" hidden="false" customHeight="false" outlineLevel="0" collapsed="false">
      <c r="A179" s="4"/>
    </row>
    <row r="180" customFormat="false" ht="15.75" hidden="false" customHeight="false" outlineLevel="0" collapsed="false">
      <c r="A180" s="4"/>
      <c r="B180" s="3"/>
    </row>
    <row r="181" customFormat="false" ht="15.75" hidden="false" customHeight="false" outlineLevel="0" collapsed="false">
      <c r="A181" s="4"/>
      <c r="B181" s="3"/>
    </row>
    <row r="182" customFormat="false" ht="15.75" hidden="false" customHeight="false" outlineLevel="0" collapsed="false">
      <c r="A182" s="4"/>
    </row>
    <row r="183" customFormat="false" ht="15.75" hidden="false" customHeight="false" outlineLevel="0" collapsed="false">
      <c r="A183" s="4"/>
      <c r="B183" s="3"/>
      <c r="C183" s="3"/>
    </row>
    <row r="184" customFormat="false" ht="15.75" hidden="false" customHeight="false" outlineLevel="0" collapsed="false">
      <c r="A184" s="4"/>
      <c r="B184" s="3"/>
      <c r="C184" s="3"/>
    </row>
    <row r="185" customFormat="false" ht="15.75" hidden="false" customHeight="false" outlineLevel="0" collapsed="false">
      <c r="A185" s="4"/>
    </row>
    <row r="186" customFormat="false" ht="15.75" hidden="false" customHeight="false" outlineLevel="0" collapsed="false">
      <c r="A186" s="4"/>
      <c r="C186" s="3"/>
    </row>
    <row r="187" customFormat="false" ht="15.75" hidden="false" customHeight="false" outlineLevel="0" collapsed="false">
      <c r="A187" s="4"/>
      <c r="B187" s="3"/>
      <c r="C187" s="3"/>
    </row>
    <row r="188" customFormat="false" ht="15.75" hidden="false" customHeight="false" outlineLevel="0" collapsed="false">
      <c r="A188" s="4"/>
      <c r="B188" s="3"/>
      <c r="C188" s="3"/>
    </row>
    <row r="189" customFormat="false" ht="15.75" hidden="false" customHeight="false" outlineLevel="0" collapsed="false">
      <c r="A189" s="4"/>
      <c r="B189" s="3"/>
      <c r="C189" s="3"/>
    </row>
    <row r="190" customFormat="false" ht="15.75" hidden="false" customHeight="false" outlineLevel="0" collapsed="false">
      <c r="A190" s="4"/>
      <c r="B190" s="3"/>
      <c r="C190" s="3"/>
    </row>
    <row r="191" customFormat="false" ht="15.75" hidden="false" customHeight="false" outlineLevel="0" collapsed="false">
      <c r="A191" s="4"/>
      <c r="B191" s="3"/>
      <c r="C191" s="3"/>
    </row>
    <row r="192" customFormat="false" ht="15.75" hidden="false" customHeight="false" outlineLevel="0" collapsed="false">
      <c r="A192" s="4"/>
      <c r="B192" s="3"/>
      <c r="C192" s="3"/>
    </row>
    <row r="193" customFormat="false" ht="15.75" hidden="false" customHeight="false" outlineLevel="0" collapsed="false">
      <c r="A193" s="4"/>
      <c r="B193" s="3"/>
      <c r="C193" s="3"/>
    </row>
    <row r="194" customFormat="false" ht="15.75" hidden="false" customHeight="false" outlineLevel="0" collapsed="false">
      <c r="A194" s="4"/>
    </row>
    <row r="195" customFormat="false" ht="15.75" hidden="false" customHeight="false" outlineLevel="0" collapsed="false">
      <c r="A195" s="4"/>
      <c r="B195" s="3"/>
      <c r="C195" s="3"/>
    </row>
    <row r="196" customFormat="false" ht="15.75" hidden="false" customHeight="false" outlineLevel="0" collapsed="false">
      <c r="A196" s="4"/>
      <c r="B196" s="3"/>
      <c r="C196" s="3"/>
    </row>
    <row r="197" customFormat="false" ht="15.75" hidden="false" customHeight="false" outlineLevel="0" collapsed="false">
      <c r="A197" s="4"/>
      <c r="B197" s="3"/>
      <c r="C197" s="3"/>
    </row>
    <row r="198" customFormat="false" ht="15.75" hidden="false" customHeight="false" outlineLevel="0" collapsed="false">
      <c r="A198" s="4"/>
      <c r="B198" s="3"/>
    </row>
    <row r="199" customFormat="false" ht="15.75" hidden="false" customHeight="false" outlineLevel="0" collapsed="false">
      <c r="A199" s="4"/>
      <c r="B199" s="3"/>
      <c r="C199" s="3"/>
    </row>
    <row r="200" customFormat="false" ht="15.75" hidden="false" customHeight="false" outlineLevel="0" collapsed="false">
      <c r="A200" s="4"/>
      <c r="B200" s="3"/>
      <c r="C200" s="3"/>
    </row>
    <row r="201" customFormat="false" ht="15.75" hidden="false" customHeight="false" outlineLevel="0" collapsed="false">
      <c r="A201" s="4"/>
      <c r="C201" s="3"/>
    </row>
    <row r="202" customFormat="false" ht="15.75" hidden="false" customHeight="false" outlineLevel="0" collapsed="false">
      <c r="A202" s="4"/>
      <c r="B202" s="3"/>
      <c r="C202" s="3"/>
    </row>
    <row r="203" customFormat="false" ht="15.75" hidden="false" customHeight="false" outlineLevel="0" collapsed="false">
      <c r="A203" s="4"/>
      <c r="B203" s="3"/>
      <c r="C203" s="3"/>
    </row>
    <row r="204" customFormat="false" ht="15.75" hidden="false" customHeight="false" outlineLevel="0" collapsed="false">
      <c r="A204" s="4"/>
      <c r="B204" s="3"/>
      <c r="C204" s="3"/>
    </row>
    <row r="205" customFormat="false" ht="15.75" hidden="false" customHeight="false" outlineLevel="0" collapsed="false">
      <c r="A205" s="4"/>
      <c r="B205" s="3"/>
      <c r="C205" s="3"/>
    </row>
    <row r="206" customFormat="false" ht="15.75" hidden="false" customHeight="false" outlineLevel="0" collapsed="false">
      <c r="A206" s="4"/>
      <c r="B206" s="3"/>
      <c r="C206" s="3"/>
    </row>
    <row r="207" customFormat="false" ht="15.75" hidden="false" customHeight="false" outlineLevel="0" collapsed="false">
      <c r="A207" s="4"/>
      <c r="B207" s="3"/>
      <c r="C207" s="3"/>
    </row>
    <row r="208" customFormat="false" ht="15.75" hidden="false" customHeight="false" outlineLevel="0" collapsed="false">
      <c r="A208" s="4"/>
      <c r="B208" s="3"/>
      <c r="C208" s="3"/>
    </row>
    <row r="209" customFormat="false" ht="15.75" hidden="false" customHeight="false" outlineLevel="0" collapsed="false">
      <c r="A209" s="4"/>
      <c r="B209" s="3"/>
      <c r="C209" s="3"/>
    </row>
    <row r="210" customFormat="false" ht="15.75" hidden="false" customHeight="false" outlineLevel="0" collapsed="false">
      <c r="A210" s="4"/>
      <c r="B210" s="3"/>
      <c r="C210" s="10"/>
    </row>
    <row r="211" customFormat="false" ht="15.75" hidden="false" customHeight="false" outlineLevel="0" collapsed="false">
      <c r="A211" s="4"/>
      <c r="B211" s="3"/>
      <c r="C211" s="3"/>
    </row>
    <row r="212" customFormat="false" ht="15.75" hidden="false" customHeight="false" outlineLevel="0" collapsed="false">
      <c r="A212" s="4"/>
      <c r="B212" s="3"/>
      <c r="C212" s="3"/>
    </row>
    <row r="213" customFormat="false" ht="15.75" hidden="false" customHeight="false" outlineLevel="0" collapsed="false">
      <c r="A213" s="4"/>
      <c r="B213" s="3"/>
      <c r="C213" s="3"/>
    </row>
    <row r="214" customFormat="false" ht="15.75" hidden="false" customHeight="false" outlineLevel="0" collapsed="false">
      <c r="A214" s="4"/>
      <c r="C214" s="3"/>
    </row>
    <row r="215" customFormat="false" ht="15.75" hidden="false" customHeight="false" outlineLevel="0" collapsed="false">
      <c r="A215" s="4"/>
      <c r="B215" s="3"/>
      <c r="C215" s="3"/>
    </row>
    <row r="216" customFormat="false" ht="15.75" hidden="false" customHeight="false" outlineLevel="0" collapsed="false">
      <c r="A216" s="4"/>
      <c r="B216" s="3"/>
      <c r="C216" s="3"/>
    </row>
    <row r="217" customFormat="false" ht="15.75" hidden="false" customHeight="false" outlineLevel="0" collapsed="false">
      <c r="A217" s="4"/>
      <c r="B217" s="3"/>
      <c r="C217" s="3"/>
    </row>
    <row r="218" customFormat="false" ht="15.75" hidden="false" customHeight="false" outlineLevel="0" collapsed="false">
      <c r="A218" s="4"/>
      <c r="B218" s="3"/>
      <c r="C218" s="3"/>
    </row>
    <row r="219" customFormat="false" ht="15.75" hidden="false" customHeight="false" outlineLevel="0" collapsed="false">
      <c r="A219" s="4"/>
      <c r="B219" s="3"/>
      <c r="C219" s="3"/>
    </row>
    <row r="220" customFormat="false" ht="15.75" hidden="false" customHeight="false" outlineLevel="0" collapsed="false">
      <c r="A220" s="4"/>
      <c r="B220" s="3"/>
      <c r="C220" s="3"/>
    </row>
    <row r="221" customFormat="false" ht="15.75" hidden="false" customHeight="false" outlineLevel="0" collapsed="false">
      <c r="A221" s="4"/>
      <c r="B221" s="3"/>
      <c r="C221" s="3"/>
    </row>
    <row r="222" customFormat="false" ht="15.75" hidden="false" customHeight="false" outlineLevel="0" collapsed="false">
      <c r="A222" s="4"/>
      <c r="B222" s="3"/>
      <c r="C222" s="3"/>
    </row>
    <row r="223" customFormat="false" ht="15.75" hidden="false" customHeight="false" outlineLevel="0" collapsed="false">
      <c r="A223" s="4"/>
      <c r="B223" s="3"/>
      <c r="C223" s="3"/>
    </row>
    <row r="224" customFormat="false" ht="15.75" hidden="false" customHeight="false" outlineLevel="0" collapsed="false">
      <c r="A224" s="4"/>
      <c r="B224" s="3"/>
      <c r="C224" s="3"/>
    </row>
    <row r="225" customFormat="false" ht="15.75" hidden="false" customHeight="false" outlineLevel="0" collapsed="false">
      <c r="A225" s="10"/>
      <c r="C225" s="10"/>
    </row>
    <row r="226" customFormat="false" ht="15.75" hidden="false" customHeight="false" outlineLevel="0" collapsed="false">
      <c r="A226" s="4"/>
      <c r="B226" s="3"/>
      <c r="C226" s="3"/>
    </row>
    <row r="227" customFormat="false" ht="15.75" hidden="false" customHeight="false" outlineLevel="0" collapsed="false">
      <c r="A227" s="4"/>
      <c r="B227" s="3"/>
      <c r="C227" s="3"/>
    </row>
    <row r="228" customFormat="false" ht="15.75" hidden="false" customHeight="false" outlineLevel="0" collapsed="false">
      <c r="A228" s="4"/>
      <c r="B228" s="3"/>
      <c r="C228" s="3"/>
    </row>
    <row r="229" customFormat="false" ht="15.75" hidden="false" customHeight="false" outlineLevel="0" collapsed="false">
      <c r="A229" s="4"/>
      <c r="B229" s="3"/>
      <c r="C229" s="3"/>
    </row>
    <row r="230" customFormat="false" ht="15.75" hidden="false" customHeight="false" outlineLevel="0" collapsed="false">
      <c r="A230" s="4"/>
      <c r="B230" s="3"/>
      <c r="C230" s="3"/>
    </row>
    <row r="231" customFormat="false" ht="15.75" hidden="false" customHeight="false" outlineLevel="0" collapsed="false">
      <c r="A231" s="4"/>
      <c r="B231" s="3"/>
      <c r="C231" s="3"/>
    </row>
    <row r="232" customFormat="false" ht="15.75" hidden="false" customHeight="false" outlineLevel="0" collapsed="false">
      <c r="A232" s="4"/>
      <c r="B232" s="3"/>
    </row>
    <row r="233" customFormat="false" ht="15.75" hidden="false" customHeight="false" outlineLevel="0" collapsed="false">
      <c r="A233" s="4"/>
      <c r="B233" s="3"/>
      <c r="C233" s="3"/>
    </row>
    <row r="234" customFormat="false" ht="15.75" hidden="false" customHeight="false" outlineLevel="0" collapsed="false">
      <c r="A234" s="4"/>
      <c r="B234" s="3"/>
      <c r="C234" s="3"/>
    </row>
    <row r="235" customFormat="false" ht="15.75" hidden="false" customHeight="false" outlineLevel="0" collapsed="false">
      <c r="A235" s="4"/>
      <c r="B235" s="3"/>
      <c r="C235" s="3"/>
    </row>
    <row r="236" customFormat="false" ht="15.75" hidden="false" customHeight="false" outlineLevel="0" collapsed="false">
      <c r="A236" s="4"/>
      <c r="B236" s="3"/>
      <c r="C236" s="3"/>
    </row>
    <row r="237" customFormat="false" ht="15.75" hidden="false" customHeight="false" outlineLevel="0" collapsed="false">
      <c r="A237" s="4"/>
      <c r="B237" s="3"/>
      <c r="C237" s="3"/>
    </row>
    <row r="238" customFormat="false" ht="15.75" hidden="false" customHeight="false" outlineLevel="0" collapsed="false">
      <c r="A238" s="4"/>
      <c r="B238" s="3"/>
      <c r="C238" s="3"/>
    </row>
    <row r="239" customFormat="false" ht="15.75" hidden="false" customHeight="false" outlineLevel="0" collapsed="false">
      <c r="A239" s="4"/>
      <c r="B239" s="3"/>
      <c r="C239" s="3"/>
    </row>
    <row r="240" customFormat="false" ht="15.75" hidden="false" customHeight="false" outlineLevel="0" collapsed="false">
      <c r="A240" s="4"/>
      <c r="B240" s="3"/>
      <c r="C240" s="3"/>
    </row>
    <row r="241" customFormat="false" ht="15.75" hidden="false" customHeight="false" outlineLevel="0" collapsed="false">
      <c r="A241" s="4"/>
      <c r="B241" s="3"/>
      <c r="C241" s="3"/>
    </row>
    <row r="242" customFormat="false" ht="15.75" hidden="false" customHeight="false" outlineLevel="0" collapsed="false">
      <c r="A242" s="4"/>
      <c r="B242" s="3"/>
      <c r="C242" s="3"/>
    </row>
    <row r="243" customFormat="false" ht="15.75" hidden="false" customHeight="false" outlineLevel="0" collapsed="false">
      <c r="A243" s="4"/>
      <c r="B243" s="3"/>
      <c r="C243" s="3"/>
    </row>
    <row r="244" customFormat="false" ht="15.75" hidden="false" customHeight="false" outlineLevel="0" collapsed="false">
      <c r="A244" s="4"/>
      <c r="B244" s="3"/>
      <c r="C244" s="3"/>
    </row>
    <row r="245" customFormat="false" ht="15.75" hidden="false" customHeight="false" outlineLevel="0" collapsed="false">
      <c r="A245" s="4"/>
      <c r="B245" s="3"/>
      <c r="C245" s="3"/>
    </row>
    <row r="246" customFormat="false" ht="15.75" hidden="false" customHeight="false" outlineLevel="0" collapsed="false">
      <c r="A246" s="4"/>
      <c r="B246" s="3"/>
      <c r="C246" s="3"/>
    </row>
    <row r="247" customFormat="false" ht="15.75" hidden="false" customHeight="false" outlineLevel="0" collapsed="false">
      <c r="A247" s="4"/>
      <c r="B247" s="3"/>
      <c r="C247" s="3"/>
    </row>
    <row r="248" customFormat="false" ht="15.75" hidden="false" customHeight="false" outlineLevel="0" collapsed="false">
      <c r="A248" s="4"/>
      <c r="B248" s="3"/>
    </row>
    <row r="249" customFormat="false" ht="15.75" hidden="false" customHeight="false" outlineLevel="0" collapsed="false">
      <c r="A249" s="4"/>
      <c r="B249" s="3"/>
      <c r="C249" s="3"/>
    </row>
    <row r="250" customFormat="false" ht="15.75" hidden="false" customHeight="false" outlineLevel="0" collapsed="false">
      <c r="A250" s="4"/>
      <c r="B250" s="3"/>
    </row>
    <row r="251" customFormat="false" ht="15.75" hidden="false" customHeight="false" outlineLevel="0" collapsed="false">
      <c r="A251" s="4"/>
      <c r="B251" s="3"/>
    </row>
    <row r="252" customFormat="false" ht="15.75" hidden="false" customHeight="false" outlineLevel="0" collapsed="false">
      <c r="A252" s="4"/>
      <c r="B252" s="3"/>
      <c r="C252" s="3"/>
    </row>
    <row r="253" customFormat="false" ht="15.75" hidden="false" customHeight="false" outlineLevel="0" collapsed="false">
      <c r="A253" s="4"/>
      <c r="B253" s="3"/>
      <c r="C253" s="3"/>
    </row>
    <row r="254" customFormat="false" ht="15.75" hidden="false" customHeight="false" outlineLevel="0" collapsed="false">
      <c r="A254" s="4"/>
      <c r="B254" s="3"/>
      <c r="C254" s="3"/>
    </row>
    <row r="255" customFormat="false" ht="15.75" hidden="false" customHeight="false" outlineLevel="0" collapsed="false">
      <c r="A255" s="4"/>
      <c r="B255" s="3"/>
    </row>
    <row r="256" customFormat="false" ht="15.75" hidden="false" customHeight="false" outlineLevel="0" collapsed="false">
      <c r="A256" s="4"/>
      <c r="B256" s="3"/>
      <c r="C256" s="3"/>
    </row>
    <row r="257" customFormat="false" ht="15.75" hidden="false" customHeight="false" outlineLevel="0" collapsed="false">
      <c r="A257" s="4"/>
      <c r="B257" s="3"/>
    </row>
    <row r="258" customFormat="false" ht="15.75" hidden="false" customHeight="false" outlineLevel="0" collapsed="false">
      <c r="A258" s="4"/>
      <c r="B258" s="3"/>
      <c r="C258" s="3"/>
    </row>
    <row r="259" customFormat="false" ht="15.75" hidden="false" customHeight="false" outlineLevel="0" collapsed="false">
      <c r="A259" s="4"/>
      <c r="B259" s="3"/>
      <c r="C259" s="3"/>
    </row>
    <row r="260" customFormat="false" ht="15.75" hidden="false" customHeight="false" outlineLevel="0" collapsed="false">
      <c r="A260" s="4"/>
      <c r="B260" s="3"/>
      <c r="C260" s="3"/>
    </row>
    <row r="261" customFormat="false" ht="15.75" hidden="false" customHeight="false" outlineLevel="0" collapsed="false">
      <c r="A261" s="4"/>
      <c r="B261" s="3"/>
    </row>
    <row r="262" customFormat="false" ht="15.75" hidden="false" customHeight="false" outlineLevel="0" collapsed="false">
      <c r="A262" s="4"/>
      <c r="B262" s="3"/>
    </row>
    <row r="263" customFormat="false" ht="15.75" hidden="false" customHeight="false" outlineLevel="0" collapsed="false">
      <c r="A263" s="4"/>
      <c r="B263" s="3"/>
    </row>
    <row r="264" customFormat="false" ht="15.75" hidden="false" customHeight="false" outlineLevel="0" collapsed="false">
      <c r="A264" s="4"/>
      <c r="B264" s="3"/>
      <c r="C264" s="3"/>
    </row>
    <row r="265" customFormat="false" ht="15.75" hidden="false" customHeight="false" outlineLevel="0" collapsed="false">
      <c r="A265" s="4"/>
      <c r="B265" s="3"/>
    </row>
    <row r="266" customFormat="false" ht="15.75" hidden="false" customHeight="false" outlineLevel="0" collapsed="false">
      <c r="A266" s="4"/>
      <c r="B266" s="3"/>
      <c r="C266" s="3"/>
    </row>
    <row r="267" customFormat="false" ht="15.75" hidden="false" customHeight="false" outlineLevel="0" collapsed="false">
      <c r="A267" s="4"/>
      <c r="B267" s="3"/>
      <c r="C267" s="3"/>
    </row>
    <row r="268" customFormat="false" ht="15.75" hidden="false" customHeight="false" outlineLevel="0" collapsed="false">
      <c r="A268" s="4"/>
      <c r="B268" s="3"/>
      <c r="C268" s="3"/>
    </row>
    <row r="269" customFormat="false" ht="15.75" hidden="false" customHeight="false" outlineLevel="0" collapsed="false">
      <c r="A269" s="4"/>
      <c r="B269" s="3"/>
      <c r="C269" s="3"/>
    </row>
    <row r="270" customFormat="false" ht="15.75" hidden="false" customHeight="false" outlineLevel="0" collapsed="false">
      <c r="A270" s="4"/>
      <c r="B270" s="3"/>
      <c r="C270" s="3"/>
    </row>
    <row r="271" customFormat="false" ht="15.75" hidden="false" customHeight="false" outlineLevel="0" collapsed="false">
      <c r="A271" s="4"/>
      <c r="B271" s="3"/>
      <c r="C271" s="3"/>
    </row>
    <row r="272" customFormat="false" ht="15.75" hidden="false" customHeight="false" outlineLevel="0" collapsed="false">
      <c r="A272" s="4"/>
      <c r="B272" s="3"/>
      <c r="C272" s="3"/>
    </row>
    <row r="273" customFormat="false" ht="15.75" hidden="false" customHeight="false" outlineLevel="0" collapsed="false">
      <c r="A273" s="4"/>
      <c r="B273" s="3"/>
      <c r="C273" s="3"/>
    </row>
    <row r="274" customFormat="false" ht="15.75" hidden="false" customHeight="false" outlineLevel="0" collapsed="false">
      <c r="A274" s="4"/>
      <c r="B274" s="3"/>
      <c r="C274" s="3"/>
    </row>
    <row r="275" customFormat="false" ht="15.75" hidden="false" customHeight="false" outlineLevel="0" collapsed="false">
      <c r="A275" s="4"/>
      <c r="B275" s="3"/>
      <c r="C275" s="3"/>
    </row>
    <row r="276" customFormat="false" ht="15.75" hidden="false" customHeight="false" outlineLevel="0" collapsed="false">
      <c r="A276" s="4"/>
      <c r="B276" s="3"/>
      <c r="C276" s="3"/>
    </row>
    <row r="277" customFormat="false" ht="15.75" hidden="false" customHeight="false" outlineLevel="0" collapsed="false">
      <c r="A277" s="4"/>
      <c r="B277" s="3"/>
      <c r="C277" s="3"/>
    </row>
    <row r="278" customFormat="false" ht="15.75" hidden="false" customHeight="false" outlineLevel="0" collapsed="false">
      <c r="A278" s="4"/>
      <c r="B278" s="3"/>
      <c r="C278" s="3"/>
    </row>
    <row r="279" customFormat="false" ht="15.75" hidden="false" customHeight="false" outlineLevel="0" collapsed="false">
      <c r="A279" s="4"/>
      <c r="B279" s="3"/>
      <c r="C279" s="3"/>
    </row>
    <row r="280" customFormat="false" ht="15.75" hidden="false" customHeight="false" outlineLevel="0" collapsed="false">
      <c r="A280" s="4"/>
      <c r="B280" s="3"/>
      <c r="C280" s="3"/>
    </row>
    <row r="281" customFormat="false" ht="15.75" hidden="false" customHeight="false" outlineLevel="0" collapsed="false">
      <c r="A281" s="4"/>
      <c r="B281" s="3"/>
      <c r="C281" s="3"/>
    </row>
    <row r="282" customFormat="false" ht="15.75" hidden="false" customHeight="false" outlineLevel="0" collapsed="false">
      <c r="A282" s="4"/>
      <c r="B282" s="3"/>
      <c r="C282" s="3"/>
    </row>
    <row r="283" customFormat="false" ht="15.75" hidden="false" customHeight="false" outlineLevel="0" collapsed="false">
      <c r="A283" s="4"/>
      <c r="B283" s="3"/>
      <c r="C283" s="3"/>
    </row>
    <row r="284" customFormat="false" ht="15.75" hidden="false" customHeight="false" outlineLevel="0" collapsed="false">
      <c r="A284" s="4"/>
      <c r="B284" s="3"/>
      <c r="C284" s="3"/>
    </row>
    <row r="285" customFormat="false" ht="15.75" hidden="false" customHeight="false" outlineLevel="0" collapsed="false">
      <c r="A285" s="4"/>
      <c r="B285" s="3"/>
      <c r="C285" s="3"/>
    </row>
    <row r="286" customFormat="false" ht="15.75" hidden="false" customHeight="false" outlineLevel="0" collapsed="false">
      <c r="A286" s="4"/>
      <c r="B286" s="3"/>
      <c r="C286" s="3"/>
    </row>
    <row r="287" customFormat="false" ht="15.75" hidden="false" customHeight="false" outlineLevel="0" collapsed="false">
      <c r="A287" s="4"/>
      <c r="B287" s="3"/>
      <c r="C287" s="3"/>
    </row>
    <row r="288" customFormat="false" ht="15.75" hidden="false" customHeight="false" outlineLevel="0" collapsed="false">
      <c r="A288" s="4"/>
      <c r="B288" s="3"/>
      <c r="C288" s="3"/>
    </row>
    <row r="289" customFormat="false" ht="15.75" hidden="false" customHeight="false" outlineLevel="0" collapsed="false">
      <c r="A289" s="4"/>
      <c r="B289" s="3"/>
      <c r="C289" s="3"/>
    </row>
    <row r="290" customFormat="false" ht="15.75" hidden="false" customHeight="false" outlineLevel="0" collapsed="false">
      <c r="A290" s="4"/>
      <c r="B290" s="3"/>
      <c r="C290" s="3"/>
    </row>
    <row r="291" customFormat="false" ht="15.75" hidden="false" customHeight="false" outlineLevel="0" collapsed="false">
      <c r="A291" s="4"/>
      <c r="B291" s="3"/>
      <c r="C291" s="3"/>
    </row>
    <row r="292" customFormat="false" ht="15.75" hidden="false" customHeight="false" outlineLevel="0" collapsed="false">
      <c r="A292" s="4"/>
      <c r="B292" s="3"/>
      <c r="C292" s="3"/>
    </row>
    <row r="293" customFormat="false" ht="15.75" hidden="false" customHeight="false" outlineLevel="0" collapsed="false">
      <c r="A293" s="4"/>
      <c r="B293" s="3"/>
      <c r="C293" s="3"/>
    </row>
    <row r="294" customFormat="false" ht="15.75" hidden="false" customHeight="false" outlineLevel="0" collapsed="false">
      <c r="A294" s="4"/>
      <c r="B294" s="3"/>
      <c r="C294" s="3"/>
    </row>
    <row r="295" customFormat="false" ht="15.75" hidden="false" customHeight="false" outlineLevel="0" collapsed="false">
      <c r="A295" s="4"/>
      <c r="B295" s="3"/>
      <c r="C295" s="3"/>
    </row>
    <row r="296" customFormat="false" ht="15.75" hidden="false" customHeight="false" outlineLevel="0" collapsed="false">
      <c r="A296" s="4"/>
      <c r="B296" s="3"/>
      <c r="C296" s="3"/>
    </row>
    <row r="297" customFormat="false" ht="15.75" hidden="false" customHeight="false" outlineLevel="0" collapsed="false">
      <c r="A297" s="4"/>
      <c r="B297" s="3"/>
      <c r="C297" s="3"/>
    </row>
    <row r="298" customFormat="false" ht="15.75" hidden="false" customHeight="false" outlineLevel="0" collapsed="false">
      <c r="A298" s="4"/>
      <c r="B298" s="3"/>
      <c r="C298" s="3"/>
    </row>
    <row r="299" customFormat="false" ht="15.75" hidden="false" customHeight="false" outlineLevel="0" collapsed="false">
      <c r="A299" s="4"/>
      <c r="B299" s="3"/>
      <c r="C299" s="3"/>
    </row>
    <row r="300" customFormat="false" ht="15.75" hidden="false" customHeight="false" outlineLevel="0" collapsed="false">
      <c r="A300" s="4"/>
      <c r="B300" s="3"/>
      <c r="C300" s="3"/>
    </row>
    <row r="301" customFormat="false" ht="15.75" hidden="false" customHeight="false" outlineLevel="0" collapsed="false">
      <c r="A301" s="4"/>
      <c r="B301" s="3"/>
      <c r="C301" s="3"/>
    </row>
    <row r="302" customFormat="false" ht="15.75" hidden="false" customHeight="false" outlineLevel="0" collapsed="false">
      <c r="A302" s="4"/>
      <c r="B302" s="3"/>
      <c r="C302" s="3"/>
    </row>
    <row r="303" customFormat="false" ht="15.75" hidden="false" customHeight="false" outlineLevel="0" collapsed="false">
      <c r="A303" s="4"/>
      <c r="B303" s="3"/>
      <c r="C303" s="3"/>
    </row>
    <row r="304" customFormat="false" ht="15.75" hidden="false" customHeight="false" outlineLevel="0" collapsed="false">
      <c r="A304" s="4"/>
      <c r="B304" s="3"/>
      <c r="C304" s="3"/>
    </row>
    <row r="305" customFormat="false" ht="15.75" hidden="false" customHeight="false" outlineLevel="0" collapsed="false">
      <c r="A305" s="4"/>
      <c r="B305" s="3"/>
      <c r="C305" s="3"/>
    </row>
    <row r="306" customFormat="false" ht="15.75" hidden="false" customHeight="false" outlineLevel="0" collapsed="false">
      <c r="A306" s="4"/>
      <c r="B306" s="3"/>
      <c r="C306" s="3"/>
    </row>
    <row r="307" customFormat="false" ht="15.75" hidden="false" customHeight="false" outlineLevel="0" collapsed="false">
      <c r="A307" s="4"/>
      <c r="B307" s="3"/>
      <c r="C307" s="3"/>
    </row>
    <row r="308" customFormat="false" ht="15.75" hidden="false" customHeight="false" outlineLevel="0" collapsed="false">
      <c r="A308" s="4"/>
      <c r="B308" s="3"/>
      <c r="C308" s="3"/>
    </row>
    <row r="309" customFormat="false" ht="15.75" hidden="false" customHeight="false" outlineLevel="0" collapsed="false">
      <c r="A309" s="4"/>
      <c r="B309" s="3"/>
      <c r="C309" s="3"/>
    </row>
    <row r="310" customFormat="false" ht="15.75" hidden="false" customHeight="false" outlineLevel="0" collapsed="false">
      <c r="A310" s="4"/>
      <c r="B310" s="3"/>
      <c r="C310" s="3"/>
    </row>
    <row r="311" customFormat="false" ht="15.75" hidden="false" customHeight="false" outlineLevel="0" collapsed="false">
      <c r="A311" s="4"/>
      <c r="B311" s="3"/>
      <c r="C311" s="3"/>
    </row>
    <row r="312" customFormat="false" ht="15.75" hidden="false" customHeight="false" outlineLevel="0" collapsed="false">
      <c r="A312" s="4"/>
      <c r="B312" s="3"/>
      <c r="C312" s="3"/>
    </row>
    <row r="313" customFormat="false" ht="15.75" hidden="false" customHeight="false" outlineLevel="0" collapsed="false">
      <c r="A313" s="4"/>
      <c r="B313" s="3"/>
      <c r="C313" s="3"/>
    </row>
    <row r="314" customFormat="false" ht="15.75" hidden="false" customHeight="false" outlineLevel="0" collapsed="false">
      <c r="A314" s="4"/>
      <c r="B314" s="3"/>
      <c r="C314" s="3"/>
    </row>
    <row r="315" customFormat="false" ht="15.75" hidden="false" customHeight="false" outlineLevel="0" collapsed="false">
      <c r="A315" s="4"/>
      <c r="B315" s="3"/>
      <c r="C315" s="3"/>
    </row>
    <row r="316" customFormat="false" ht="15.75" hidden="false" customHeight="false" outlineLevel="0" collapsed="false">
      <c r="A316" s="4"/>
      <c r="B316" s="3"/>
      <c r="C316" s="3"/>
    </row>
    <row r="317" customFormat="false" ht="15.75" hidden="false" customHeight="false" outlineLevel="0" collapsed="false">
      <c r="A317" s="4"/>
      <c r="B317" s="3"/>
      <c r="C317" s="3"/>
    </row>
    <row r="318" customFormat="false" ht="15.75" hidden="false" customHeight="false" outlineLevel="0" collapsed="false">
      <c r="A318" s="4"/>
      <c r="B318" s="3"/>
      <c r="C318" s="3"/>
    </row>
    <row r="319" customFormat="false" ht="15.75" hidden="false" customHeight="false" outlineLevel="0" collapsed="false">
      <c r="A319" s="4"/>
      <c r="B319" s="3"/>
      <c r="C319" s="3"/>
    </row>
    <row r="320" customFormat="false" ht="15.75" hidden="false" customHeight="false" outlineLevel="0" collapsed="false">
      <c r="A320" s="4"/>
      <c r="B320" s="3"/>
      <c r="C320" s="3"/>
    </row>
    <row r="321" customFormat="false" ht="15.75" hidden="false" customHeight="false" outlineLevel="0" collapsed="false">
      <c r="A321" s="4"/>
      <c r="B321" s="3"/>
      <c r="C321" s="3"/>
    </row>
    <row r="322" customFormat="false" ht="15.75" hidden="false" customHeight="false" outlineLevel="0" collapsed="false">
      <c r="A322" s="4"/>
      <c r="B322" s="3"/>
      <c r="C322" s="3"/>
    </row>
    <row r="323" customFormat="false" ht="15.75" hidden="false" customHeight="false" outlineLevel="0" collapsed="false">
      <c r="A323" s="4"/>
      <c r="B323" s="3"/>
      <c r="C323" s="3"/>
    </row>
    <row r="324" customFormat="false" ht="15.75" hidden="false" customHeight="false" outlineLevel="0" collapsed="false">
      <c r="A324" s="4"/>
      <c r="B324" s="3"/>
      <c r="C324" s="3"/>
    </row>
    <row r="325" customFormat="false" ht="15.75" hidden="false" customHeight="false" outlineLevel="0" collapsed="false">
      <c r="A325" s="4"/>
      <c r="B325" s="3"/>
      <c r="C325" s="3"/>
    </row>
    <row r="326" customFormat="false" ht="15.75" hidden="false" customHeight="false" outlineLevel="0" collapsed="false">
      <c r="A326" s="4"/>
      <c r="B326" s="3"/>
      <c r="C326" s="3"/>
    </row>
    <row r="327" customFormat="false" ht="15.75" hidden="false" customHeight="false" outlineLevel="0" collapsed="false">
      <c r="A327" s="4"/>
      <c r="B327" s="3"/>
      <c r="C327" s="3"/>
    </row>
    <row r="328" customFormat="false" ht="15.75" hidden="false" customHeight="false" outlineLevel="0" collapsed="false">
      <c r="A328" s="4"/>
      <c r="B328" s="3"/>
      <c r="C328" s="3"/>
    </row>
    <row r="329" customFormat="false" ht="15.75" hidden="false" customHeight="false" outlineLevel="0" collapsed="false">
      <c r="A329" s="4"/>
      <c r="B329" s="3"/>
      <c r="C329" s="3"/>
    </row>
    <row r="330" customFormat="false" ht="15.75" hidden="false" customHeight="false" outlineLevel="0" collapsed="false">
      <c r="A330" s="4"/>
      <c r="B330" s="3"/>
      <c r="C330" s="3"/>
    </row>
    <row r="331" customFormat="false" ht="15.75" hidden="false" customHeight="false" outlineLevel="0" collapsed="false">
      <c r="A331" s="4"/>
      <c r="B331" s="3"/>
      <c r="C331" s="3"/>
    </row>
    <row r="332" customFormat="false" ht="15.75" hidden="false" customHeight="false" outlineLevel="0" collapsed="false">
      <c r="A332" s="4"/>
      <c r="B332" s="3"/>
      <c r="C332" s="3"/>
    </row>
    <row r="333" customFormat="false" ht="15.75" hidden="false" customHeight="false" outlineLevel="0" collapsed="false">
      <c r="A333" s="4"/>
      <c r="B333" s="3"/>
      <c r="C333" s="3"/>
    </row>
    <row r="334" customFormat="false" ht="15.75" hidden="false" customHeight="false" outlineLevel="0" collapsed="false">
      <c r="A334" s="4"/>
      <c r="B334" s="3"/>
      <c r="C334" s="3"/>
    </row>
    <row r="335" customFormat="false" ht="15.75" hidden="false" customHeight="false" outlineLevel="0" collapsed="false">
      <c r="A335" s="4"/>
      <c r="B335" s="3"/>
      <c r="C335" s="3"/>
    </row>
    <row r="336" customFormat="false" ht="15.75" hidden="false" customHeight="false" outlineLevel="0" collapsed="false">
      <c r="A336" s="4"/>
      <c r="B336" s="3"/>
      <c r="C336" s="3"/>
    </row>
    <row r="337" customFormat="false" ht="15.75" hidden="false" customHeight="false" outlineLevel="0" collapsed="false">
      <c r="A337" s="4"/>
      <c r="B337" s="3"/>
      <c r="C337" s="3"/>
    </row>
    <row r="338" customFormat="false" ht="15.75" hidden="false" customHeight="false" outlineLevel="0" collapsed="false">
      <c r="A338" s="4"/>
      <c r="B338" s="3"/>
      <c r="C338" s="3"/>
    </row>
    <row r="339" customFormat="false" ht="15.75" hidden="false" customHeight="false" outlineLevel="0" collapsed="false">
      <c r="A339" s="4"/>
      <c r="B339" s="3"/>
      <c r="C339" s="3"/>
    </row>
    <row r="340" customFormat="false" ht="15.75" hidden="false" customHeight="false" outlineLevel="0" collapsed="false">
      <c r="A340" s="4"/>
      <c r="B340" s="3"/>
      <c r="C340" s="3"/>
    </row>
    <row r="341" customFormat="false" ht="15.75" hidden="false" customHeight="false" outlineLevel="0" collapsed="false">
      <c r="A341" s="4"/>
      <c r="B341" s="3"/>
      <c r="C341" s="3"/>
    </row>
    <row r="342" customFormat="false" ht="15.75" hidden="false" customHeight="false" outlineLevel="0" collapsed="false">
      <c r="A342" s="4"/>
      <c r="B342" s="3"/>
      <c r="C342" s="3"/>
    </row>
    <row r="343" customFormat="false" ht="15.75" hidden="false" customHeight="false" outlineLevel="0" collapsed="false">
      <c r="A343" s="4"/>
      <c r="B343" s="3"/>
      <c r="C343" s="3"/>
    </row>
    <row r="344" customFormat="false" ht="15.75" hidden="false" customHeight="false" outlineLevel="0" collapsed="false">
      <c r="A344" s="4"/>
      <c r="B344" s="3"/>
      <c r="C344" s="3"/>
    </row>
    <row r="345" customFormat="false" ht="15.75" hidden="false" customHeight="false" outlineLevel="0" collapsed="false">
      <c r="A345" s="4"/>
      <c r="B345" s="3"/>
      <c r="C345" s="3"/>
    </row>
    <row r="346" customFormat="false" ht="15.75" hidden="false" customHeight="false" outlineLevel="0" collapsed="false">
      <c r="A346" s="4"/>
      <c r="B346" s="3"/>
      <c r="C346" s="3"/>
    </row>
    <row r="347" customFormat="false" ht="15.75" hidden="false" customHeight="false" outlineLevel="0" collapsed="false">
      <c r="A347" s="4"/>
      <c r="B347" s="3"/>
      <c r="C347" s="3"/>
    </row>
    <row r="348" customFormat="false" ht="15.75" hidden="false" customHeight="false" outlineLevel="0" collapsed="false">
      <c r="A348" s="4"/>
      <c r="B348" s="3"/>
      <c r="C348" s="3"/>
    </row>
    <row r="349" customFormat="false" ht="15.75" hidden="false" customHeight="false" outlineLevel="0" collapsed="false">
      <c r="A349" s="4"/>
      <c r="B349" s="3"/>
      <c r="C349" s="3"/>
    </row>
    <row r="350" customFormat="false" ht="15.75" hidden="false" customHeight="false" outlineLevel="0" collapsed="false">
      <c r="A350" s="4"/>
      <c r="B350" s="3"/>
      <c r="C350" s="3"/>
    </row>
    <row r="351" customFormat="false" ht="15.75" hidden="false" customHeight="false" outlineLevel="0" collapsed="false">
      <c r="A351" s="4"/>
      <c r="B351" s="3"/>
      <c r="C351" s="3"/>
    </row>
    <row r="352" customFormat="false" ht="15.75" hidden="false" customHeight="false" outlineLevel="0" collapsed="false">
      <c r="A352" s="4"/>
      <c r="B352" s="3"/>
      <c r="C352" s="3"/>
    </row>
    <row r="353" customFormat="false" ht="15.75" hidden="false" customHeight="false" outlineLevel="0" collapsed="false">
      <c r="A353" s="4"/>
      <c r="B353" s="3"/>
      <c r="C353" s="3"/>
    </row>
    <row r="354" customFormat="false" ht="15.75" hidden="false" customHeight="false" outlineLevel="0" collapsed="false">
      <c r="A354" s="4"/>
      <c r="B354" s="3"/>
      <c r="C354" s="3"/>
    </row>
    <row r="355" customFormat="false" ht="15.75" hidden="false" customHeight="false" outlineLevel="0" collapsed="false">
      <c r="A355" s="4"/>
      <c r="B355" s="3"/>
      <c r="C355" s="3"/>
    </row>
    <row r="356" customFormat="false" ht="15.75" hidden="false" customHeight="false" outlineLevel="0" collapsed="false">
      <c r="A356" s="4"/>
      <c r="B356" s="3"/>
      <c r="C356" s="3"/>
    </row>
    <row r="357" customFormat="false" ht="15.75" hidden="false" customHeight="false" outlineLevel="0" collapsed="false">
      <c r="A357" s="4"/>
      <c r="B357" s="3"/>
      <c r="C357" s="3"/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4"/>
      <c r="B362" s="3"/>
      <c r="C362" s="3"/>
    </row>
    <row r="363" customFormat="false" ht="15.75" hidden="false" customHeight="false" outlineLevel="0" collapsed="false">
      <c r="A363" s="4"/>
      <c r="B363" s="3"/>
      <c r="C363" s="3"/>
    </row>
    <row r="364" customFormat="false" ht="15.75" hidden="false" customHeight="false" outlineLevel="0" collapsed="false">
      <c r="A364" s="4"/>
      <c r="B364" s="3"/>
      <c r="C364" s="3"/>
    </row>
    <row r="365" customFormat="false" ht="15.75" hidden="false" customHeight="false" outlineLevel="0" collapsed="false">
      <c r="A365" s="4"/>
      <c r="B365" s="3"/>
      <c r="C365" s="3"/>
    </row>
    <row r="366" customFormat="false" ht="15.75" hidden="false" customHeight="false" outlineLevel="0" collapsed="false">
      <c r="A366" s="4"/>
      <c r="B366" s="3"/>
      <c r="C366" s="3"/>
    </row>
    <row r="367" customFormat="false" ht="15.75" hidden="false" customHeight="false" outlineLevel="0" collapsed="false">
      <c r="A367" s="4"/>
      <c r="B367" s="3"/>
      <c r="C367" s="3"/>
    </row>
    <row r="368" customFormat="false" ht="15.75" hidden="false" customHeight="false" outlineLevel="0" collapsed="false">
      <c r="A368" s="4"/>
      <c r="B368" s="3"/>
      <c r="C368" s="3"/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4"/>
      <c r="B372" s="3"/>
      <c r="C372" s="3"/>
    </row>
    <row r="373" customFormat="false" ht="15.75" hidden="false" customHeight="false" outlineLevel="0" collapsed="false">
      <c r="A373" s="4"/>
      <c r="B373" s="3"/>
      <c r="C373" s="3"/>
    </row>
    <row r="374" customFormat="false" ht="15.75" hidden="false" customHeight="false" outlineLevel="0" collapsed="false">
      <c r="A374" s="4"/>
      <c r="B374" s="3"/>
      <c r="C374" s="3"/>
    </row>
    <row r="375" customFormat="false" ht="15.75" hidden="false" customHeight="false" outlineLevel="0" collapsed="false">
      <c r="A375" s="4"/>
      <c r="B375" s="3"/>
      <c r="C375" s="3"/>
    </row>
    <row r="376" customFormat="false" ht="15.75" hidden="false" customHeight="false" outlineLevel="0" collapsed="false">
      <c r="A376" s="4"/>
      <c r="B376" s="3"/>
      <c r="C376" s="3"/>
    </row>
    <row r="377" customFormat="false" ht="15.75" hidden="false" customHeight="false" outlineLevel="0" collapsed="false">
      <c r="A377" s="4"/>
      <c r="B377" s="3"/>
      <c r="C377" s="3"/>
    </row>
    <row r="378" customFormat="false" ht="15.75" hidden="false" customHeight="false" outlineLevel="0" collapsed="false">
      <c r="A378" s="4"/>
      <c r="B378" s="3"/>
      <c r="C378" s="3"/>
    </row>
    <row r="379" customFormat="false" ht="15.75" hidden="false" customHeight="false" outlineLevel="0" collapsed="false">
      <c r="A379" s="4"/>
      <c r="B379" s="3"/>
      <c r="C379" s="3"/>
    </row>
    <row r="380" customFormat="false" ht="15.75" hidden="false" customHeight="false" outlineLevel="0" collapsed="false">
      <c r="A380" s="4"/>
      <c r="B380" s="3"/>
      <c r="C380" s="3"/>
    </row>
    <row r="381" customFormat="false" ht="15.75" hidden="false" customHeight="false" outlineLevel="0" collapsed="false">
      <c r="A381" s="4"/>
      <c r="B381" s="3"/>
      <c r="C381" s="3"/>
    </row>
    <row r="382" customFormat="false" ht="15.75" hidden="false" customHeight="false" outlineLevel="0" collapsed="false">
      <c r="A382" s="4"/>
      <c r="B382" s="3"/>
      <c r="C382" s="3"/>
    </row>
    <row r="383" customFormat="false" ht="15.75" hidden="false" customHeight="false" outlineLevel="0" collapsed="false">
      <c r="A383" s="4"/>
      <c r="B383" s="3"/>
      <c r="C383" s="3"/>
    </row>
    <row r="384" customFormat="false" ht="15.75" hidden="false" customHeight="false" outlineLevel="0" collapsed="false">
      <c r="A384" s="4"/>
      <c r="B384" s="3"/>
      <c r="C384" s="3"/>
    </row>
    <row r="385" customFormat="false" ht="15.75" hidden="false" customHeight="false" outlineLevel="0" collapsed="false">
      <c r="A385" s="4"/>
      <c r="B385" s="3"/>
      <c r="C385" s="3"/>
    </row>
    <row r="386" customFormat="false" ht="15.75" hidden="false" customHeight="false" outlineLevel="0" collapsed="false">
      <c r="A386" s="4"/>
      <c r="B386" s="3"/>
      <c r="C386" s="3"/>
    </row>
    <row r="387" customFormat="false" ht="15.75" hidden="false" customHeight="false" outlineLevel="0" collapsed="false">
      <c r="A387" s="4"/>
      <c r="B387" s="3"/>
      <c r="C387" s="3"/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</row>
    <row r="395" customFormat="false" ht="15.75" hidden="false" customHeight="false" outlineLevel="0" collapsed="false">
      <c r="A395" s="4"/>
      <c r="B395" s="3"/>
      <c r="C395" s="3"/>
    </row>
    <row r="396" customFormat="false" ht="15.75" hidden="false" customHeight="false" outlineLevel="0" collapsed="false">
      <c r="A396" s="4"/>
      <c r="B396" s="3"/>
      <c r="C396" s="3"/>
    </row>
    <row r="397" customFormat="false" ht="15.75" hidden="false" customHeight="false" outlineLevel="0" collapsed="false">
      <c r="A397" s="4"/>
      <c r="B397" s="3"/>
      <c r="C397" s="3"/>
    </row>
    <row r="398" customFormat="false" ht="15.75" hidden="false" customHeight="false" outlineLevel="0" collapsed="false">
      <c r="A398" s="4"/>
      <c r="B398" s="3"/>
      <c r="C398" s="3"/>
    </row>
    <row r="399" customFormat="false" ht="15.75" hidden="false" customHeight="false" outlineLevel="0" collapsed="false">
      <c r="A399" s="4"/>
      <c r="B399" s="3"/>
      <c r="C399" s="3"/>
    </row>
    <row r="400" customFormat="false" ht="15.75" hidden="false" customHeight="false" outlineLevel="0" collapsed="false">
      <c r="A400" s="4"/>
      <c r="B400" s="3"/>
      <c r="C400" s="3"/>
    </row>
    <row r="401" customFormat="false" ht="15.75" hidden="false" customHeight="false" outlineLevel="0" collapsed="false">
      <c r="A401" s="4"/>
      <c r="B401" s="3"/>
      <c r="C401" s="3"/>
    </row>
    <row r="402" customFormat="false" ht="15.75" hidden="false" customHeight="false" outlineLevel="0" collapsed="false">
      <c r="A402" s="4"/>
      <c r="B402" s="3"/>
      <c r="C402" s="3"/>
    </row>
    <row r="403" customFormat="false" ht="15.75" hidden="false" customHeight="false" outlineLevel="0" collapsed="false">
      <c r="A403" s="4"/>
      <c r="B403" s="3"/>
      <c r="C403" s="3"/>
    </row>
    <row r="404" customFormat="false" ht="15.75" hidden="false" customHeight="false" outlineLevel="0" collapsed="false">
      <c r="A404" s="4"/>
      <c r="B404" s="3"/>
      <c r="C404" s="3"/>
    </row>
    <row r="405" customFormat="false" ht="15.75" hidden="false" customHeight="false" outlineLevel="0" collapsed="false">
      <c r="A405" s="4"/>
      <c r="B405" s="3"/>
      <c r="C405" s="3"/>
    </row>
    <row r="406" customFormat="false" ht="15.75" hidden="false" customHeight="false" outlineLevel="0" collapsed="false">
      <c r="A406" s="4"/>
      <c r="B406" s="3"/>
      <c r="C406" s="3"/>
    </row>
    <row r="407" customFormat="false" ht="15.75" hidden="false" customHeight="false" outlineLevel="0" collapsed="false">
      <c r="A407" s="4"/>
      <c r="B407" s="3"/>
      <c r="C407" s="3"/>
    </row>
    <row r="408" customFormat="false" ht="15.75" hidden="false" customHeight="false" outlineLevel="0" collapsed="false">
      <c r="A408" s="4"/>
      <c r="B408" s="3"/>
      <c r="C408" s="3"/>
    </row>
    <row r="409" customFormat="false" ht="15.75" hidden="false" customHeight="false" outlineLevel="0" collapsed="false">
      <c r="A409" s="4"/>
      <c r="B409" s="3"/>
      <c r="C409" s="3"/>
    </row>
    <row r="410" customFormat="false" ht="15.75" hidden="false" customHeight="false" outlineLevel="0" collapsed="false">
      <c r="A410" s="4"/>
      <c r="B410" s="3"/>
      <c r="C410" s="3"/>
    </row>
    <row r="411" customFormat="false" ht="15.75" hidden="false" customHeight="false" outlineLevel="0" collapsed="false">
      <c r="A411" s="4"/>
      <c r="B411" s="3"/>
      <c r="C411" s="3"/>
    </row>
    <row r="412" customFormat="false" ht="15.75" hidden="false" customHeight="false" outlineLevel="0" collapsed="false">
      <c r="A412" s="4"/>
      <c r="B412" s="3"/>
      <c r="C412" s="3"/>
    </row>
    <row r="413" customFormat="false" ht="15.75" hidden="false" customHeight="false" outlineLevel="0" collapsed="false">
      <c r="A413" s="4"/>
      <c r="B413" s="3"/>
      <c r="C413" s="3"/>
    </row>
    <row r="414" customFormat="false" ht="15.75" hidden="false" customHeight="false" outlineLevel="0" collapsed="false">
      <c r="A414" s="4"/>
      <c r="B414" s="3"/>
      <c r="C414" s="3"/>
    </row>
    <row r="415" customFormat="false" ht="15.75" hidden="false" customHeight="false" outlineLevel="0" collapsed="false">
      <c r="A415" s="4"/>
      <c r="B415" s="3"/>
      <c r="C415" s="3"/>
    </row>
    <row r="416" customFormat="false" ht="15.75" hidden="false" customHeight="false" outlineLevel="0" collapsed="false">
      <c r="A416" s="4"/>
      <c r="B416" s="3"/>
      <c r="C416" s="3"/>
    </row>
    <row r="417" customFormat="false" ht="15.75" hidden="false" customHeight="false" outlineLevel="0" collapsed="false">
      <c r="A417" s="4"/>
      <c r="B417" s="3"/>
      <c r="C417" s="3"/>
    </row>
    <row r="418" customFormat="false" ht="15.75" hidden="false" customHeight="false" outlineLevel="0" collapsed="false">
      <c r="A418" s="4"/>
      <c r="B418" s="3"/>
      <c r="C418" s="3"/>
    </row>
    <row r="419" customFormat="false" ht="15.75" hidden="false" customHeight="false" outlineLevel="0" collapsed="false">
      <c r="A419" s="4"/>
      <c r="B419" s="3"/>
      <c r="C419" s="3"/>
    </row>
    <row r="420" customFormat="false" ht="15.75" hidden="false" customHeight="false" outlineLevel="0" collapsed="false">
      <c r="A420" s="4"/>
      <c r="B420" s="3"/>
      <c r="C420" s="3"/>
    </row>
    <row r="421" customFormat="false" ht="15.75" hidden="false" customHeight="false" outlineLevel="0" collapsed="false">
      <c r="A421" s="4"/>
      <c r="B421" s="3"/>
      <c r="C421" s="3"/>
    </row>
    <row r="422" customFormat="false" ht="15.75" hidden="false" customHeight="false" outlineLevel="0" collapsed="false">
      <c r="A422" s="4"/>
      <c r="B422" s="3"/>
      <c r="C422" s="3"/>
    </row>
    <row r="423" customFormat="false" ht="15.75" hidden="false" customHeight="false" outlineLevel="0" collapsed="false">
      <c r="A423" s="4"/>
      <c r="B423" s="3"/>
      <c r="C423" s="3"/>
    </row>
    <row r="424" customFormat="false" ht="15.75" hidden="false" customHeight="false" outlineLevel="0" collapsed="false">
      <c r="A424" s="4"/>
      <c r="B424" s="3"/>
      <c r="C424" s="3"/>
    </row>
    <row r="425" customFormat="false" ht="15.75" hidden="false" customHeight="false" outlineLevel="0" collapsed="false">
      <c r="A425" s="4"/>
      <c r="B425" s="3"/>
      <c r="C425" s="3"/>
    </row>
    <row r="426" customFormat="false" ht="15.75" hidden="false" customHeight="false" outlineLevel="0" collapsed="false">
      <c r="A426" s="4"/>
      <c r="B426" s="3"/>
      <c r="C426" s="3"/>
    </row>
    <row r="427" customFormat="false" ht="15.75" hidden="false" customHeight="false" outlineLevel="0" collapsed="false">
      <c r="A427" s="4"/>
      <c r="B427" s="3"/>
      <c r="C427" s="3"/>
    </row>
    <row r="428" customFormat="false" ht="15.75" hidden="false" customHeight="false" outlineLevel="0" collapsed="false">
      <c r="A428" s="4"/>
      <c r="B428" s="3"/>
      <c r="C428" s="3"/>
    </row>
    <row r="429" customFormat="false" ht="15.75" hidden="false" customHeight="false" outlineLevel="0" collapsed="false">
      <c r="A429" s="4"/>
      <c r="B429" s="3"/>
      <c r="C429" s="3"/>
    </row>
    <row r="430" customFormat="false" ht="15.75" hidden="false" customHeight="false" outlineLevel="0" collapsed="false">
      <c r="A430" s="4"/>
      <c r="B430" s="3"/>
      <c r="C430" s="3"/>
    </row>
    <row r="431" customFormat="false" ht="15.75" hidden="false" customHeight="false" outlineLevel="0" collapsed="false">
      <c r="A431" s="4"/>
      <c r="B431" s="3"/>
      <c r="C431" s="3"/>
    </row>
    <row r="432" customFormat="false" ht="15.75" hidden="false" customHeight="false" outlineLevel="0" collapsed="false">
      <c r="A432" s="4"/>
      <c r="B432" s="3"/>
      <c r="C432" s="3"/>
    </row>
    <row r="433" customFormat="false" ht="15.75" hidden="false" customHeight="false" outlineLevel="0" collapsed="false">
      <c r="A433" s="4"/>
      <c r="B433" s="3"/>
      <c r="C433" s="3"/>
    </row>
    <row r="434" customFormat="false" ht="15.75" hidden="false" customHeight="false" outlineLevel="0" collapsed="false">
      <c r="A434" s="4"/>
      <c r="B434" s="3"/>
      <c r="C434" s="3"/>
    </row>
    <row r="435" customFormat="false" ht="15.75" hidden="false" customHeight="false" outlineLevel="0" collapsed="false">
      <c r="A435" s="4"/>
      <c r="B435" s="3"/>
      <c r="C435" s="3"/>
    </row>
    <row r="436" customFormat="false" ht="15.75" hidden="false" customHeight="false" outlineLevel="0" collapsed="false">
      <c r="A436" s="4"/>
      <c r="B436" s="3"/>
      <c r="C436" s="3"/>
    </row>
    <row r="437" customFormat="false" ht="15.75" hidden="false" customHeight="false" outlineLevel="0" collapsed="false">
      <c r="A437" s="4"/>
      <c r="B437" s="3"/>
      <c r="C437" s="3"/>
    </row>
    <row r="438" customFormat="false" ht="15.75" hidden="false" customHeight="false" outlineLevel="0" collapsed="false">
      <c r="A438" s="4"/>
      <c r="B438" s="3"/>
      <c r="C438" s="3"/>
    </row>
    <row r="439" customFormat="false" ht="15.75" hidden="false" customHeight="false" outlineLevel="0" collapsed="false">
      <c r="A439" s="4"/>
      <c r="B439" s="3"/>
      <c r="C439" s="3"/>
    </row>
    <row r="440" customFormat="false" ht="15.75" hidden="false" customHeight="false" outlineLevel="0" collapsed="false">
      <c r="A440" s="4"/>
      <c r="B440" s="3"/>
      <c r="C440" s="3"/>
    </row>
    <row r="441" customFormat="false" ht="15.75" hidden="false" customHeight="false" outlineLevel="0" collapsed="false">
      <c r="A441" s="4"/>
      <c r="B441" s="3"/>
      <c r="C441" s="3"/>
    </row>
    <row r="442" customFormat="false" ht="15.75" hidden="false" customHeight="false" outlineLevel="0" collapsed="false">
      <c r="A442" s="4"/>
      <c r="B442" s="3"/>
      <c r="C442" s="3"/>
    </row>
    <row r="443" customFormat="false" ht="15.75" hidden="false" customHeight="false" outlineLevel="0" collapsed="false">
      <c r="A443" s="4"/>
      <c r="B443" s="3"/>
      <c r="C443" s="3"/>
    </row>
    <row r="444" customFormat="false" ht="15.75" hidden="false" customHeight="false" outlineLevel="0" collapsed="false">
      <c r="A444" s="4"/>
      <c r="B444" s="3"/>
      <c r="C444" s="3"/>
    </row>
    <row r="445" customFormat="false" ht="15.75" hidden="false" customHeight="false" outlineLevel="0" collapsed="false">
      <c r="A445" s="4"/>
      <c r="B445" s="3"/>
      <c r="C445" s="3"/>
    </row>
    <row r="446" customFormat="false" ht="15.75" hidden="false" customHeight="false" outlineLevel="0" collapsed="false">
      <c r="A446" s="4"/>
      <c r="B446" s="3"/>
      <c r="C446" s="3"/>
    </row>
    <row r="447" customFormat="false" ht="15.75" hidden="false" customHeight="false" outlineLevel="0" collapsed="false">
      <c r="A447" s="4"/>
      <c r="B447" s="3"/>
      <c r="C447" s="3"/>
    </row>
    <row r="448" customFormat="false" ht="15.75" hidden="false" customHeight="false" outlineLevel="0" collapsed="false">
      <c r="A448" s="4"/>
      <c r="B448" s="3"/>
      <c r="C448" s="3"/>
    </row>
    <row r="449" customFormat="false" ht="15.75" hidden="false" customHeight="false" outlineLevel="0" collapsed="false">
      <c r="A449" s="4"/>
      <c r="B449" s="3"/>
      <c r="C449" s="3"/>
    </row>
    <row r="450" customFormat="false" ht="15.75" hidden="false" customHeight="false" outlineLevel="0" collapsed="false">
      <c r="A450" s="4"/>
      <c r="B450" s="3"/>
      <c r="C450" s="3"/>
    </row>
    <row r="451" customFormat="false" ht="15.75" hidden="false" customHeight="false" outlineLevel="0" collapsed="false">
      <c r="A451" s="4"/>
      <c r="B451" s="3"/>
      <c r="C451" s="3"/>
    </row>
    <row r="452" customFormat="false" ht="15.75" hidden="false" customHeight="false" outlineLevel="0" collapsed="false">
      <c r="A452" s="4"/>
      <c r="B452" s="3"/>
      <c r="C452" s="3"/>
    </row>
    <row r="453" customFormat="false" ht="15.75" hidden="false" customHeight="false" outlineLevel="0" collapsed="false">
      <c r="A453" s="4"/>
      <c r="B453" s="3"/>
      <c r="C453" s="3"/>
    </row>
    <row r="454" customFormat="false" ht="15.75" hidden="false" customHeight="false" outlineLevel="0" collapsed="false">
      <c r="A454" s="4"/>
      <c r="B454" s="3"/>
      <c r="C454" s="3"/>
    </row>
    <row r="455" customFormat="false" ht="15.75" hidden="false" customHeight="false" outlineLevel="0" collapsed="false">
      <c r="A455" s="4"/>
      <c r="B455" s="3"/>
      <c r="C455" s="3"/>
    </row>
    <row r="456" customFormat="false" ht="15.75" hidden="false" customHeight="false" outlineLevel="0" collapsed="false">
      <c r="A456" s="4"/>
      <c r="B456" s="3"/>
      <c r="C456" s="3"/>
    </row>
    <row r="457" customFormat="false" ht="15.75" hidden="false" customHeight="false" outlineLevel="0" collapsed="false">
      <c r="A457" s="4"/>
      <c r="B457" s="3"/>
      <c r="C457" s="3"/>
    </row>
    <row r="458" customFormat="false" ht="15.75" hidden="false" customHeight="false" outlineLevel="0" collapsed="false">
      <c r="A458" s="4"/>
      <c r="B458" s="3"/>
      <c r="C458" s="3"/>
    </row>
    <row r="459" customFormat="false" ht="15.75" hidden="false" customHeight="false" outlineLevel="0" collapsed="false">
      <c r="A459" s="4"/>
      <c r="B459" s="3"/>
      <c r="C459" s="3"/>
    </row>
    <row r="460" customFormat="false" ht="15.75" hidden="false" customHeight="false" outlineLevel="0" collapsed="false">
      <c r="A460" s="4"/>
      <c r="B460" s="3"/>
      <c r="C460" s="3"/>
    </row>
    <row r="461" customFormat="false" ht="15.75" hidden="false" customHeight="false" outlineLevel="0" collapsed="false">
      <c r="A461" s="4"/>
      <c r="B461" s="3"/>
      <c r="C461" s="3"/>
    </row>
    <row r="462" customFormat="false" ht="15.75" hidden="false" customHeight="false" outlineLevel="0" collapsed="false">
      <c r="A462" s="4"/>
      <c r="B462" s="3"/>
      <c r="C462" s="3"/>
    </row>
    <row r="463" customFormat="false" ht="15.75" hidden="false" customHeight="false" outlineLevel="0" collapsed="false">
      <c r="A463" s="4"/>
      <c r="B463" s="3"/>
      <c r="C463" s="3"/>
    </row>
    <row r="464" customFormat="false" ht="15.75" hidden="false" customHeight="false" outlineLevel="0" collapsed="false">
      <c r="A464" s="4"/>
      <c r="B464" s="3"/>
      <c r="C464" s="3"/>
    </row>
    <row r="465" customFormat="false" ht="15.75" hidden="false" customHeight="false" outlineLevel="0" collapsed="false">
      <c r="A465" s="4"/>
      <c r="B465" s="3"/>
      <c r="C465" s="3"/>
    </row>
    <row r="466" customFormat="false" ht="15.75" hidden="false" customHeight="false" outlineLevel="0" collapsed="false">
      <c r="A466" s="4"/>
      <c r="B466" s="3"/>
      <c r="C466" s="3"/>
    </row>
    <row r="467" customFormat="false" ht="15.75" hidden="false" customHeight="false" outlineLevel="0" collapsed="false">
      <c r="A467" s="4"/>
      <c r="B467" s="3"/>
      <c r="C467" s="3"/>
    </row>
    <row r="468" customFormat="false" ht="15.75" hidden="false" customHeight="false" outlineLevel="0" collapsed="false">
      <c r="A468" s="4"/>
      <c r="B468" s="3"/>
      <c r="C468" s="3"/>
    </row>
    <row r="469" customFormat="false" ht="15.75" hidden="false" customHeight="false" outlineLevel="0" collapsed="false">
      <c r="A469" s="4"/>
      <c r="B469" s="3"/>
      <c r="C469" s="3"/>
    </row>
    <row r="470" customFormat="false" ht="15.75" hidden="false" customHeight="false" outlineLevel="0" collapsed="false">
      <c r="A470" s="4"/>
      <c r="B470" s="3"/>
      <c r="C470" s="3"/>
    </row>
    <row r="471" customFormat="false" ht="15.75" hidden="false" customHeight="false" outlineLevel="0" collapsed="false">
      <c r="A471" s="4"/>
      <c r="B471" s="3"/>
      <c r="C471" s="3"/>
    </row>
    <row r="472" customFormat="false" ht="15.75" hidden="false" customHeight="false" outlineLevel="0" collapsed="false">
      <c r="A472" s="4"/>
      <c r="B472" s="3"/>
      <c r="C472" s="3"/>
    </row>
    <row r="473" customFormat="false" ht="15.75" hidden="false" customHeight="false" outlineLevel="0" collapsed="false">
      <c r="A473" s="4"/>
      <c r="B473" s="3"/>
      <c r="C473" s="3"/>
    </row>
    <row r="474" customFormat="false" ht="15.75" hidden="false" customHeight="false" outlineLevel="0" collapsed="false">
      <c r="A474" s="4"/>
      <c r="B474" s="3"/>
      <c r="C474" s="3"/>
    </row>
    <row r="475" customFormat="false" ht="15.75" hidden="false" customHeight="false" outlineLevel="0" collapsed="false">
      <c r="A475" s="4"/>
      <c r="B475" s="3"/>
      <c r="C475" s="3"/>
    </row>
    <row r="476" customFormat="false" ht="15.75" hidden="false" customHeight="false" outlineLevel="0" collapsed="false">
      <c r="A476" s="4"/>
      <c r="B476" s="3"/>
      <c r="C476" s="3"/>
    </row>
    <row r="477" customFormat="false" ht="15.75" hidden="false" customHeight="false" outlineLevel="0" collapsed="false">
      <c r="A477" s="4"/>
      <c r="B477" s="3"/>
      <c r="C477" s="3"/>
    </row>
    <row r="478" customFormat="false" ht="15.75" hidden="false" customHeight="false" outlineLevel="0" collapsed="false">
      <c r="A478" s="4"/>
      <c r="B478" s="3"/>
      <c r="C478" s="3"/>
    </row>
    <row r="479" customFormat="false" ht="15.75" hidden="false" customHeight="false" outlineLevel="0" collapsed="false">
      <c r="A479" s="4"/>
      <c r="B479" s="3"/>
      <c r="C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  <c r="C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  <c r="C488" s="3"/>
    </row>
    <row r="489" customFormat="false" ht="15.75" hidden="false" customHeight="false" outlineLevel="0" collapsed="false">
      <c r="A489" s="4"/>
      <c r="B489" s="3"/>
      <c r="C489" s="3"/>
    </row>
    <row r="490" customFormat="false" ht="15.75" hidden="false" customHeight="false" outlineLevel="0" collapsed="false">
      <c r="A490" s="4"/>
      <c r="B490" s="3"/>
      <c r="C490" s="3"/>
    </row>
    <row r="491" customFormat="false" ht="15.75" hidden="false" customHeight="false" outlineLevel="0" collapsed="false">
      <c r="A491" s="4"/>
      <c r="B491" s="3"/>
      <c r="C491" s="3"/>
    </row>
    <row r="492" customFormat="false" ht="15.75" hidden="false" customHeight="false" outlineLevel="0" collapsed="false">
      <c r="A492" s="4"/>
      <c r="B492" s="3"/>
      <c r="C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  <c r="B495" s="3"/>
      <c r="C495" s="3"/>
    </row>
    <row r="496" customFormat="false" ht="15.75" hidden="false" customHeight="false" outlineLevel="0" collapsed="false">
      <c r="A496" s="4"/>
      <c r="B496" s="3"/>
      <c r="C496" s="3"/>
    </row>
    <row r="497" customFormat="false" ht="15.75" hidden="false" customHeight="false" outlineLevel="0" collapsed="false">
      <c r="A497" s="4"/>
      <c r="B497" s="3"/>
      <c r="C497" s="3"/>
    </row>
    <row r="498" customFormat="false" ht="15.75" hidden="false" customHeight="false" outlineLevel="0" collapsed="false">
      <c r="A498" s="4"/>
      <c r="B498" s="3"/>
      <c r="C498" s="3"/>
    </row>
    <row r="499" customFormat="false" ht="15.75" hidden="false" customHeight="false" outlineLevel="0" collapsed="false">
      <c r="A499" s="4"/>
      <c r="B499" s="3"/>
      <c r="C499" s="3"/>
    </row>
    <row r="500" customFormat="false" ht="15.75" hidden="false" customHeight="false" outlineLevel="0" collapsed="false">
      <c r="A500" s="4"/>
      <c r="B500" s="3"/>
      <c r="C500" s="3"/>
    </row>
    <row r="501" customFormat="false" ht="15.75" hidden="false" customHeight="false" outlineLevel="0" collapsed="false">
      <c r="A501" s="4"/>
      <c r="B501" s="3"/>
      <c r="C501" s="3"/>
    </row>
    <row r="502" customFormat="false" ht="15.75" hidden="false" customHeight="false" outlineLevel="0" collapsed="false">
      <c r="A502" s="4"/>
      <c r="B502" s="3"/>
      <c r="C502" s="3"/>
    </row>
    <row r="503" customFormat="false" ht="15.75" hidden="false" customHeight="false" outlineLevel="0" collapsed="false">
      <c r="A503" s="4"/>
      <c r="B503" s="3"/>
      <c r="C503" s="3"/>
    </row>
    <row r="504" customFormat="false" ht="15.75" hidden="false" customHeight="false" outlineLevel="0" collapsed="false">
      <c r="A504" s="4"/>
      <c r="B504" s="3"/>
      <c r="C504" s="3"/>
    </row>
    <row r="505" customFormat="false" ht="15.75" hidden="false" customHeight="false" outlineLevel="0" collapsed="false">
      <c r="A505" s="4"/>
      <c r="B505" s="3"/>
      <c r="C505" s="3"/>
    </row>
    <row r="506" customFormat="false" ht="15.75" hidden="false" customHeight="false" outlineLevel="0" collapsed="false">
      <c r="A506" s="4"/>
      <c r="B506" s="3"/>
      <c r="C506" s="3"/>
    </row>
    <row r="507" customFormat="false" ht="15.75" hidden="false" customHeight="false" outlineLevel="0" collapsed="false">
      <c r="A507" s="4"/>
      <c r="B507" s="3"/>
      <c r="C507" s="3"/>
    </row>
    <row r="508" customFormat="false" ht="15.75" hidden="false" customHeight="false" outlineLevel="0" collapsed="false">
      <c r="A508" s="4"/>
      <c r="B508" s="3"/>
      <c r="C508" s="3"/>
    </row>
    <row r="509" customFormat="false" ht="15.75" hidden="false" customHeight="false" outlineLevel="0" collapsed="false">
      <c r="A509" s="4"/>
      <c r="B509" s="3"/>
      <c r="C509" s="3"/>
    </row>
    <row r="510" customFormat="false" ht="15.75" hidden="false" customHeight="false" outlineLevel="0" collapsed="false">
      <c r="A510" s="4"/>
      <c r="B510" s="3"/>
      <c r="C510" s="3"/>
    </row>
    <row r="511" customFormat="false" ht="15.75" hidden="false" customHeight="false" outlineLevel="0" collapsed="false">
      <c r="A511" s="4"/>
      <c r="B511" s="3"/>
      <c r="C511" s="3"/>
    </row>
    <row r="512" customFormat="false" ht="15.75" hidden="false" customHeight="false" outlineLevel="0" collapsed="false">
      <c r="A512" s="4"/>
      <c r="B512" s="3"/>
      <c r="C512" s="3"/>
    </row>
    <row r="513" customFormat="false" ht="15.75" hidden="false" customHeight="false" outlineLevel="0" collapsed="false">
      <c r="A513" s="4"/>
      <c r="B513" s="3"/>
      <c r="C513" s="3"/>
    </row>
    <row r="514" customFormat="false" ht="15.75" hidden="false" customHeight="false" outlineLevel="0" collapsed="false">
      <c r="A514" s="4"/>
      <c r="B514" s="3"/>
      <c r="C514" s="3"/>
    </row>
    <row r="515" customFormat="false" ht="15.75" hidden="false" customHeight="false" outlineLevel="0" collapsed="false">
      <c r="A515" s="4"/>
      <c r="B515" s="3"/>
      <c r="C515" s="3"/>
    </row>
    <row r="516" customFormat="false" ht="15.75" hidden="false" customHeight="false" outlineLevel="0" collapsed="false">
      <c r="A516" s="4"/>
      <c r="B516" s="3"/>
      <c r="C516" s="3"/>
    </row>
    <row r="517" customFormat="false" ht="15.75" hidden="false" customHeight="false" outlineLevel="0" collapsed="false">
      <c r="A517" s="4"/>
      <c r="B517" s="3"/>
      <c r="C517" s="3"/>
    </row>
    <row r="518" customFormat="false" ht="15.75" hidden="false" customHeight="false" outlineLevel="0" collapsed="false">
      <c r="A518" s="4"/>
      <c r="B518" s="3"/>
      <c r="C518" s="3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  <c r="B521" s="3"/>
      <c r="C521" s="3"/>
    </row>
    <row r="522" customFormat="false" ht="15.75" hidden="false" customHeight="false" outlineLevel="0" collapsed="false">
      <c r="A522" s="4"/>
      <c r="B522" s="3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  <c r="B530" s="3"/>
      <c r="C530" s="3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  <c r="C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B537" s="3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3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B550" s="3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4"/>
      <c r="B561" s="3"/>
      <c r="C561" s="3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  <c r="C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  <c r="C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  <c r="C586" s="3"/>
    </row>
    <row r="587" customFormat="false" ht="15.75" hidden="false" customHeight="false" outlineLevel="0" collapsed="false">
      <c r="A587" s="4"/>
      <c r="B587" s="3"/>
      <c r="C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  <c r="C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  <c r="C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  <c r="C597" s="3"/>
    </row>
    <row r="598" customFormat="false" ht="15.75" hidden="false" customHeight="false" outlineLevel="0" collapsed="false">
      <c r="A598" s="4"/>
      <c r="B598" s="3"/>
      <c r="C598" s="3"/>
    </row>
    <row r="599" customFormat="false" ht="15.75" hidden="false" customHeight="false" outlineLevel="0" collapsed="false">
      <c r="A599" s="4"/>
      <c r="B599" s="3"/>
      <c r="C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  <c r="C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B898" s="3"/>
      <c r="C898" s="3"/>
    </row>
    <row r="899" customFormat="false" ht="15.75" hidden="false" customHeight="false" outlineLevel="0" collapsed="false">
      <c r="B899" s="3"/>
      <c r="C899" s="3"/>
    </row>
    <row r="900" customFormat="false" ht="15.75" hidden="false" customHeight="false" outlineLevel="0" collapsed="false">
      <c r="B900" s="3"/>
      <c r="C900" s="3"/>
    </row>
    <row r="901" customFormat="false" ht="15.75" hidden="false" customHeight="false" outlineLevel="0" collapsed="false">
      <c r="B901" s="3"/>
      <c r="C901" s="3"/>
    </row>
    <row r="902" customFormat="false" ht="15.75" hidden="false" customHeight="false" outlineLevel="0" collapsed="false">
      <c r="B902" s="3"/>
      <c r="C902" s="3"/>
    </row>
    <row r="903" customFormat="false" ht="15.75" hidden="false" customHeight="false" outlineLevel="0" collapsed="false">
      <c r="B903" s="3"/>
      <c r="C903" s="3"/>
    </row>
    <row r="904" customFormat="false" ht="15.75" hidden="false" customHeight="false" outlineLevel="0" collapsed="false">
      <c r="B904" s="3"/>
      <c r="C904" s="3"/>
    </row>
    <row r="905" customFormat="false" ht="15.75" hidden="false" customHeight="false" outlineLevel="0" collapsed="false">
      <c r="B905" s="3"/>
      <c r="C905" s="3"/>
    </row>
    <row r="906" customFormat="false" ht="15.75" hidden="false" customHeight="false" outlineLevel="0" collapsed="false">
      <c r="B906" s="3"/>
      <c r="C906" s="3"/>
    </row>
    <row r="907" customFormat="false" ht="15.75" hidden="false" customHeight="false" outlineLevel="0" collapsed="false">
      <c r="B907" s="3"/>
      <c r="C907" s="3"/>
    </row>
    <row r="908" customFormat="false" ht="15.75" hidden="false" customHeight="false" outlineLevel="0" collapsed="false">
      <c r="B908" s="3"/>
      <c r="C908" s="3"/>
    </row>
    <row r="909" customFormat="false" ht="15.75" hidden="false" customHeight="false" outlineLevel="0" collapsed="false">
      <c r="B909" s="3"/>
      <c r="C909" s="3"/>
    </row>
    <row r="910" customFormat="false" ht="15.75" hidden="false" customHeight="false" outlineLevel="0" collapsed="false">
      <c r="B910" s="3"/>
      <c r="C910" s="3"/>
    </row>
    <row r="911" customFormat="false" ht="15.75" hidden="false" customHeight="false" outlineLevel="0" collapsed="false">
      <c r="B911" s="3"/>
      <c r="C911" s="3"/>
    </row>
    <row r="912" customFormat="false" ht="15.75" hidden="false" customHeight="false" outlineLevel="0" collapsed="false">
      <c r="B912" s="3"/>
      <c r="C912" s="3"/>
    </row>
    <row r="913" customFormat="false" ht="15.75" hidden="false" customHeight="false" outlineLevel="0" collapsed="false">
      <c r="B913" s="3"/>
      <c r="C913" s="3"/>
    </row>
    <row r="914" customFormat="false" ht="15.75" hidden="false" customHeight="false" outlineLevel="0" collapsed="false">
      <c r="B914" s="3"/>
      <c r="C914" s="3"/>
    </row>
    <row r="915" customFormat="false" ht="15.75" hidden="false" customHeight="false" outlineLevel="0" collapsed="false">
      <c r="B915" s="3"/>
      <c r="C915" s="3"/>
    </row>
    <row r="916" customFormat="false" ht="15.75" hidden="false" customHeight="false" outlineLevel="0" collapsed="false">
      <c r="B916" s="3"/>
      <c r="C916" s="3"/>
    </row>
    <row r="917" customFormat="false" ht="15.75" hidden="false" customHeight="false" outlineLevel="0" collapsed="false">
      <c r="B917" s="3"/>
      <c r="C917" s="3"/>
    </row>
    <row r="918" customFormat="false" ht="15.75" hidden="false" customHeight="false" outlineLevel="0" collapsed="false">
      <c r="B918" s="3"/>
      <c r="C918" s="3"/>
    </row>
    <row r="919" customFormat="false" ht="15.75" hidden="false" customHeight="false" outlineLevel="0" collapsed="false">
      <c r="B919" s="3"/>
      <c r="C919" s="3"/>
    </row>
    <row r="920" customFormat="false" ht="15.75" hidden="false" customHeight="false" outlineLevel="0" collapsed="false">
      <c r="B920" s="3"/>
      <c r="C920" s="3"/>
    </row>
    <row r="921" customFormat="false" ht="15.75" hidden="false" customHeight="false" outlineLevel="0" collapsed="false">
      <c r="B921" s="3"/>
      <c r="C921" s="3"/>
    </row>
    <row r="922" customFormat="false" ht="15.75" hidden="false" customHeight="false" outlineLevel="0" collapsed="false">
      <c r="B922" s="3"/>
      <c r="C922" s="3"/>
    </row>
    <row r="923" customFormat="false" ht="15.75" hidden="false" customHeight="false" outlineLevel="0" collapsed="false">
      <c r="B923" s="3"/>
      <c r="C923" s="3"/>
    </row>
    <row r="924" customFormat="false" ht="15.75" hidden="false" customHeight="false" outlineLevel="0" collapsed="false">
      <c r="B924" s="3"/>
      <c r="C924" s="3"/>
    </row>
    <row r="925" customFormat="false" ht="15.75" hidden="false" customHeight="false" outlineLevel="0" collapsed="false">
      <c r="B925" s="3"/>
      <c r="C925" s="3"/>
    </row>
    <row r="926" customFormat="false" ht="15.75" hidden="false" customHeight="false" outlineLevel="0" collapsed="false">
      <c r="B926" s="3"/>
      <c r="C926" s="3"/>
    </row>
    <row r="927" customFormat="false" ht="15.75" hidden="false" customHeight="false" outlineLevel="0" collapsed="false">
      <c r="B927" s="3"/>
      <c r="C927" s="3"/>
    </row>
    <row r="928" customFormat="false" ht="15.75" hidden="false" customHeight="false" outlineLevel="0" collapsed="false">
      <c r="B928" s="3"/>
      <c r="C928" s="3"/>
    </row>
    <row r="929" customFormat="false" ht="15.75" hidden="false" customHeight="false" outlineLevel="0" collapsed="false">
      <c r="B929" s="3"/>
      <c r="C929" s="3"/>
    </row>
    <row r="930" customFormat="false" ht="15.75" hidden="false" customHeight="false" outlineLevel="0" collapsed="false">
      <c r="B930" s="3"/>
      <c r="C930" s="3"/>
    </row>
    <row r="931" customFormat="false" ht="15.75" hidden="false" customHeight="false" outlineLevel="0" collapsed="false">
      <c r="B931" s="3"/>
      <c r="C931" s="3"/>
    </row>
    <row r="932" customFormat="false" ht="15.75" hidden="false" customHeight="false" outlineLevel="0" collapsed="false">
      <c r="B932" s="3"/>
      <c r="C932" s="3"/>
    </row>
    <row r="933" customFormat="false" ht="15.75" hidden="false" customHeight="false" outlineLevel="0" collapsed="false">
      <c r="B933" s="3"/>
      <c r="C933" s="3"/>
    </row>
    <row r="934" customFormat="false" ht="15.75" hidden="false" customHeight="false" outlineLevel="0" collapsed="false">
      <c r="B934" s="3"/>
      <c r="C934" s="3"/>
    </row>
    <row r="935" customFormat="false" ht="15.75" hidden="false" customHeight="false" outlineLevel="0" collapsed="false">
      <c r="B935" s="3"/>
      <c r="C935" s="3"/>
    </row>
    <row r="936" customFormat="false" ht="15.75" hidden="false" customHeight="false" outlineLevel="0" collapsed="false">
      <c r="B936" s="3"/>
      <c r="C936" s="3"/>
    </row>
    <row r="937" customFormat="false" ht="15.75" hidden="false" customHeight="false" outlineLevel="0" collapsed="false">
      <c r="B937" s="3"/>
      <c r="C937" s="3"/>
    </row>
    <row r="938" customFormat="false" ht="15.75" hidden="false" customHeight="false" outlineLevel="0" collapsed="false">
      <c r="B938" s="3"/>
      <c r="C938" s="3"/>
    </row>
    <row r="939" customFormat="false" ht="15.75" hidden="false" customHeight="false" outlineLevel="0" collapsed="false">
      <c r="B939" s="3"/>
      <c r="C939" s="3"/>
    </row>
    <row r="940" customFormat="false" ht="15.75" hidden="false" customHeight="false" outlineLevel="0" collapsed="false">
      <c r="B940" s="3"/>
      <c r="C940" s="3"/>
    </row>
    <row r="941" customFormat="false" ht="15.75" hidden="false" customHeight="false" outlineLevel="0" collapsed="false">
      <c r="B941" s="3"/>
      <c r="C941" s="3"/>
    </row>
    <row r="942" customFormat="false" ht="15.75" hidden="false" customHeight="false" outlineLevel="0" collapsed="false">
      <c r="B942" s="3"/>
      <c r="C942" s="3"/>
    </row>
    <row r="943" customFormat="false" ht="15.75" hidden="false" customHeight="false" outlineLevel="0" collapsed="false">
      <c r="B943" s="3"/>
      <c r="C943" s="3"/>
    </row>
    <row r="944" customFormat="false" ht="15.75" hidden="false" customHeight="false" outlineLevel="0" collapsed="false">
      <c r="B944" s="3"/>
      <c r="C944" s="3"/>
    </row>
    <row r="945" customFormat="false" ht="15.75" hidden="false" customHeight="false" outlineLevel="0" collapsed="false">
      <c r="B945" s="3"/>
      <c r="C945" s="3"/>
    </row>
    <row r="946" customFormat="false" ht="15.75" hidden="false" customHeight="false" outlineLevel="0" collapsed="false">
      <c r="B946" s="3"/>
      <c r="C946" s="3"/>
    </row>
    <row r="947" customFormat="false" ht="15.75" hidden="false" customHeight="false" outlineLevel="0" collapsed="false">
      <c r="B947" s="3"/>
      <c r="C947" s="3"/>
    </row>
    <row r="948" customFormat="false" ht="15.75" hidden="false" customHeight="false" outlineLevel="0" collapsed="false">
      <c r="B948" s="3"/>
      <c r="C948" s="3"/>
    </row>
    <row r="949" customFormat="false" ht="15.75" hidden="false" customHeight="false" outlineLevel="0" collapsed="false">
      <c r="B949" s="3"/>
      <c r="C949" s="3"/>
    </row>
    <row r="950" customFormat="false" ht="15.75" hidden="false" customHeight="false" outlineLevel="0" collapsed="false">
      <c r="B950" s="3"/>
      <c r="C950" s="3"/>
    </row>
    <row r="951" customFormat="false" ht="15.75" hidden="false" customHeight="false" outlineLevel="0" collapsed="false">
      <c r="B951" s="3"/>
      <c r="C951" s="3"/>
    </row>
    <row r="952" customFormat="false" ht="15.75" hidden="false" customHeight="false" outlineLevel="0" collapsed="false">
      <c r="B952" s="3"/>
      <c r="C952" s="3"/>
    </row>
    <row r="953" customFormat="false" ht="15.75" hidden="false" customHeight="false" outlineLevel="0" collapsed="false">
      <c r="B953" s="3"/>
      <c r="C953" s="3"/>
    </row>
    <row r="954" customFormat="false" ht="15.75" hidden="false" customHeight="false" outlineLevel="0" collapsed="false">
      <c r="B954" s="3"/>
      <c r="C954" s="3"/>
    </row>
    <row r="955" customFormat="false" ht="15.75" hidden="false" customHeight="false" outlineLevel="0" collapsed="false">
      <c r="B955" s="3"/>
      <c r="C955" s="3"/>
    </row>
    <row r="956" customFormat="false" ht="15.75" hidden="false" customHeight="false" outlineLevel="0" collapsed="false">
      <c r="B956" s="3"/>
      <c r="C956" s="3"/>
    </row>
    <row r="957" customFormat="false" ht="15.75" hidden="false" customHeight="false" outlineLevel="0" collapsed="false">
      <c r="B957" s="3"/>
      <c r="C957" s="3"/>
    </row>
    <row r="958" customFormat="false" ht="15.75" hidden="false" customHeight="false" outlineLevel="0" collapsed="false">
      <c r="B958" s="3"/>
      <c r="C958" s="3"/>
    </row>
    <row r="959" customFormat="false" ht="15.75" hidden="false" customHeight="false" outlineLevel="0" collapsed="false">
      <c r="B959" s="3"/>
      <c r="C959" s="3"/>
    </row>
    <row r="960" customFormat="false" ht="15.75" hidden="false" customHeight="false" outlineLevel="0" collapsed="false">
      <c r="B960" s="3"/>
      <c r="C960" s="3"/>
    </row>
    <row r="961" customFormat="false" ht="15.75" hidden="false" customHeight="false" outlineLevel="0" collapsed="false">
      <c r="B961" s="3"/>
      <c r="C961" s="3"/>
    </row>
    <row r="962" customFormat="false" ht="15.75" hidden="false" customHeight="false" outlineLevel="0" collapsed="false">
      <c r="B962" s="3"/>
      <c r="C962" s="3"/>
    </row>
    <row r="963" customFormat="false" ht="15.75" hidden="false" customHeight="false" outlineLevel="0" collapsed="false">
      <c r="B963" s="3"/>
      <c r="C963" s="3"/>
    </row>
    <row r="964" customFormat="false" ht="15.75" hidden="false" customHeight="false" outlineLevel="0" collapsed="false">
      <c r="B964" s="3"/>
      <c r="C964" s="3"/>
    </row>
    <row r="965" customFormat="false" ht="15.75" hidden="false" customHeight="false" outlineLevel="0" collapsed="false">
      <c r="B965" s="3"/>
      <c r="C965" s="3"/>
    </row>
    <row r="966" customFormat="false" ht="15.75" hidden="false" customHeight="false" outlineLevel="0" collapsed="false">
      <c r="B966" s="3"/>
      <c r="C966" s="3"/>
    </row>
    <row r="967" customFormat="false" ht="15.75" hidden="false" customHeight="false" outlineLevel="0" collapsed="false">
      <c r="B967" s="3"/>
      <c r="C967" s="3"/>
    </row>
    <row r="968" customFormat="false" ht="15.75" hidden="false" customHeight="false" outlineLevel="0" collapsed="false">
      <c r="B968" s="3"/>
      <c r="C968" s="3"/>
    </row>
    <row r="969" customFormat="false" ht="15.75" hidden="false" customHeight="false" outlineLevel="0" collapsed="false">
      <c r="B969" s="3"/>
      <c r="C969" s="3"/>
    </row>
    <row r="970" customFormat="false" ht="15.75" hidden="false" customHeight="false" outlineLevel="0" collapsed="false">
      <c r="B970" s="3"/>
      <c r="C970" s="3"/>
    </row>
    <row r="971" customFormat="false" ht="15.75" hidden="false" customHeight="false" outlineLevel="0" collapsed="false">
      <c r="B971" s="3"/>
      <c r="C971" s="3"/>
    </row>
    <row r="972" customFormat="false" ht="15.75" hidden="false" customHeight="false" outlineLevel="0" collapsed="false">
      <c r="B972" s="3"/>
      <c r="C972" s="3"/>
    </row>
    <row r="973" customFormat="false" ht="15.75" hidden="false" customHeight="false" outlineLevel="0" collapsed="false">
      <c r="B973" s="3"/>
      <c r="C973" s="3"/>
    </row>
    <row r="974" customFormat="false" ht="15.75" hidden="false" customHeight="false" outlineLevel="0" collapsed="false">
      <c r="B974" s="3"/>
      <c r="C974" s="3"/>
    </row>
    <row r="975" customFormat="false" ht="15.75" hidden="false" customHeight="false" outlineLevel="0" collapsed="false">
      <c r="B975" s="3"/>
      <c r="C975" s="3"/>
    </row>
    <row r="976" customFormat="false" ht="15.75" hidden="false" customHeight="false" outlineLevel="0" collapsed="false">
      <c r="B976" s="3"/>
      <c r="C976" s="3"/>
    </row>
    <row r="977" customFormat="false" ht="15.75" hidden="false" customHeight="false" outlineLevel="0" collapsed="false">
      <c r="B977" s="3"/>
      <c r="C977" s="3"/>
    </row>
    <row r="978" customFormat="false" ht="15.75" hidden="false" customHeight="false" outlineLevel="0" collapsed="false">
      <c r="B978" s="3"/>
      <c r="C978" s="3"/>
    </row>
    <row r="979" customFormat="false" ht="15.75" hidden="false" customHeight="false" outlineLevel="0" collapsed="false">
      <c r="B979" s="3"/>
      <c r="C979" s="3"/>
    </row>
    <row r="980" customFormat="false" ht="15.75" hidden="false" customHeight="false" outlineLevel="0" collapsed="false">
      <c r="B980" s="3"/>
      <c r="C980" s="3"/>
    </row>
    <row r="981" customFormat="false" ht="15.75" hidden="false" customHeight="false" outlineLevel="0" collapsed="false">
      <c r="B981" s="3"/>
      <c r="C981" s="3"/>
    </row>
    <row r="982" customFormat="false" ht="15.75" hidden="false" customHeight="false" outlineLevel="0" collapsed="false">
      <c r="B982" s="3"/>
      <c r="C982" s="3"/>
    </row>
    <row r="983" customFormat="false" ht="15.75" hidden="false" customHeight="false" outlineLevel="0" collapsed="false">
      <c r="B983" s="3"/>
      <c r="C983" s="3"/>
    </row>
    <row r="984" customFormat="false" ht="15.75" hidden="false" customHeight="false" outlineLevel="0" collapsed="false">
      <c r="B984" s="3"/>
      <c r="C984" s="3"/>
    </row>
    <row r="985" customFormat="false" ht="15.75" hidden="false" customHeight="false" outlineLevel="0" collapsed="false">
      <c r="B985" s="3"/>
      <c r="C985" s="3"/>
    </row>
    <row r="986" customFormat="false" ht="15.75" hidden="false" customHeight="false" outlineLevel="0" collapsed="false">
      <c r="B986" s="3"/>
      <c r="C986" s="3"/>
    </row>
    <row r="987" customFormat="false" ht="15.75" hidden="false" customHeight="false" outlineLevel="0" collapsed="false">
      <c r="B987" s="3"/>
      <c r="C987" s="3"/>
    </row>
    <row r="988" customFormat="false" ht="15.75" hidden="false" customHeight="false" outlineLevel="0" collapsed="false">
      <c r="B988" s="3"/>
      <c r="C988" s="3"/>
    </row>
    <row r="989" customFormat="false" ht="15.75" hidden="false" customHeight="false" outlineLevel="0" collapsed="false">
      <c r="B989" s="3"/>
      <c r="C989" s="3"/>
    </row>
    <row r="990" customFormat="false" ht="15.75" hidden="false" customHeight="false" outlineLevel="0" collapsed="false">
      <c r="B990" s="3"/>
      <c r="C990" s="3"/>
    </row>
    <row r="991" customFormat="false" ht="15.75" hidden="false" customHeight="false" outlineLevel="0" collapsed="false">
      <c r="B991" s="3"/>
      <c r="C991" s="3"/>
    </row>
  </sheetData>
  <conditionalFormatting sqref="C75">
    <cfRule type="expression" priority="2" aboveAverage="0" equalAverage="0" bottom="0" percent="0" rank="0" text="" dxfId="1">
      <formula>D75="YES"</formula>
    </cfRule>
  </conditionalFormatting>
  <conditionalFormatting sqref="A2:A132 A135:A897">
    <cfRule type="expression" priority="3" aboveAverage="0" equalAverage="0" bottom="0" percent="0" rank="0" text="" dxfId="2">
      <formula>COUNTIF(B2:C2,A2)=0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3.63"/>
    <col collapsed="false" customWidth="true" hidden="false" outlineLevel="0" max="2" min="2" style="0" width="7"/>
    <col collapsed="false" customWidth="true" hidden="false" outlineLevel="0" max="3" min="3" style="0" width="117.5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1423</v>
      </c>
      <c r="B2" s="3" t="str">
        <f aca="false">IF(COUNTIF(Final_CB_B3_V5!$B$2:$B$496,A2)&gt;=1,"YES","NO")</f>
        <v>YES</v>
      </c>
      <c r="C2" s="3" t="s">
        <v>1423</v>
      </c>
      <c r="D2" s="3" t="str">
        <f aca="false">IF(COUNTIF(Final_CB_B3_V5!$C$2:$C$496,C2)&gt;=1,"YES","NO")</f>
        <v>YES</v>
      </c>
      <c r="F2" s="4" t="str">
        <f aca="false">IFERROR(__xludf.dummyfunction("filter(A2:A700, MATCH(A2:A700, C2:C700, FALSE))"),"check::if::regressions::exist")</f>
        <v>check::if::regressions::exist</v>
      </c>
      <c r="G2" s="4" t="str">
        <f aca="false">IFERROR(__xludf.dummyfunction("filter(A2:A700,iserror(MATCH(A2:A700, C2:C700, FALSE)))"),"execution::and::reporting::of::automated::system::tests::(elastic::recheck)")</f>
        <v>execution::and::reporting::of::automated::system::tests::(elastic::recheck)</v>
      </c>
      <c r="H2" s="4" t="str">
        <f aca="false">IFERROR(__xludf.dummyfunction("filter(C2:C700,ISERROR(MATCH(C2:C700, A2:A700, FALSE)))"),"clean::up::temporary::files")</f>
        <v>clean::up::temporary::files</v>
      </c>
    </row>
    <row r="3" customFormat="false" ht="15.75" hidden="false" customHeight="false" outlineLevel="0" collapsed="false">
      <c r="A3" s="3" t="s">
        <v>1424</v>
      </c>
      <c r="B3" s="3" t="str">
        <f aca="false">IF(COUNTIF(Final_CB_B3_V5!$B$2:$B$496,A3)&gt;=1,"YES","NO")</f>
        <v>YES</v>
      </c>
      <c r="C3" s="3" t="s">
        <v>1425</v>
      </c>
      <c r="D3" s="3" t="str">
        <f aca="false">IF(COUNTIF(Final_CB_B3_V5!$C$2:$C$496,C3)&gt;=1,"YES","NO")</f>
        <v>YES</v>
      </c>
      <c r="F3" s="4" t="str">
        <f aca="false">IFERROR(__xludf.dummyfunction("""COMPUTED_VALUE"""),"execution::automated::smoke::tests")</f>
        <v>execution::automated::smoke::tests</v>
      </c>
      <c r="G3" s="4" t="str">
        <f aca="false">IFERROR(__xludf.dummyfunction("""COMPUTED_VALUE"""),"execution::automated::best::practice::enforcement::(forbiddenapis)")</f>
        <v>execution::automated::best::practice::enforcement::(forbiddenapis)</v>
      </c>
      <c r="H3" s="4" t="str">
        <f aca="false">IFERROR(__xludf.dummyfunction("""COMPUTED_VALUE"""),"customize::configuration::dependencies")</f>
        <v>customize::configuration::dependencies</v>
      </c>
    </row>
    <row r="4" customFormat="false" ht="15.75" hidden="false" customHeight="false" outlineLevel="0" collapsed="false">
      <c r="A4" s="3" t="s">
        <v>1426</v>
      </c>
      <c r="B4" s="3" t="str">
        <f aca="false">IF(COUNTIF(Final_CB_B3_V5!$B$2:$B$496,A4)&gt;=1,"YES","NO")</f>
        <v>YES</v>
      </c>
      <c r="C4" s="3" t="s">
        <v>1427</v>
      </c>
      <c r="D4" s="3" t="str">
        <f aca="false">IF(COUNTIF(Final_CB_B3_V5!$C$2:$C$496,C4)&gt;=1,"YES","NO")</f>
        <v>YES</v>
      </c>
      <c r="F4" s="4" t="str">
        <f aca="false">IFERROR(__xludf.dummyfunction("""COMPUTED_VALUE"""),"execution::automated::unit::and::integration::tests")</f>
        <v>execution::automated::unit::and::integration::tests</v>
      </c>
      <c r="G4" s="4" t="str">
        <f aca="false">IFERROR(__xludf.dummyfunction("""COMPUTED_VALUE"""),"execution::automated::database::migrations")</f>
        <v>execution::automated::database::migrations</v>
      </c>
      <c r="H4" s="4" t="str">
        <f aca="false">IFERROR(__xludf.dummyfunction("""COMPUTED_VALUE"""),"execution::and::reporting::of::automated::system::tests")</f>
        <v>execution::and::reporting::of::automated::system::tests</v>
      </c>
    </row>
    <row r="5" customFormat="false" ht="15.75" hidden="false" customHeight="false" outlineLevel="0" collapsed="false">
      <c r="A5" s="3" t="s">
        <v>1428</v>
      </c>
      <c r="B5" s="3" t="str">
        <f aca="false">IF(COUNTIF(Final_CB_B3_V5!$B$2:$B$496,A5)&gt;=1,"YES","NO")</f>
        <v>YES</v>
      </c>
      <c r="C5" s="3" t="s">
        <v>1429</v>
      </c>
      <c r="D5" s="3" t="str">
        <f aca="false">IF(COUNTIF(Final_CB_B3_V5!$C$2:$C$496,C5)&gt;=1,"YES","NO")</f>
        <v>YES</v>
      </c>
      <c r="F5" s="4" t="str">
        <f aca="false">IFERROR(__xludf.dummyfunction("""COMPUTED_VALUE"""),"generation::of::source::code::documentation")</f>
        <v>generation::of::source::code::documentation</v>
      </c>
      <c r="G5" s="4" t="str">
        <f aca="false">IFERROR(__xludf.dummyfunction("""COMPUTED_VALUE"""),"execution::automated::merge::test")</f>
        <v>execution::automated::merge::test</v>
      </c>
      <c r="H5" s="4" t="str">
        <f aca="false">IFERROR(__xludf.dummyfunction("""COMPUTED_VALUE"""),"execution::and::reporting::of::other::automated::tests")</f>
        <v>execution::and::reporting::of::other::automated::tests</v>
      </c>
    </row>
    <row r="6" customFormat="false" ht="15.75" hidden="false" customHeight="false" outlineLevel="0" collapsed="false">
      <c r="A6" s="3" t="s">
        <v>1430</v>
      </c>
      <c r="B6" s="3" t="str">
        <f aca="false">IF(COUNTIF(Final_CB_B3_V5!$B$2:$B$496,A6)&gt;=1,"YES","NO")</f>
        <v>YES</v>
      </c>
      <c r="C6" s="3" t="s">
        <v>1431</v>
      </c>
      <c r="D6" s="3" t="str">
        <f aca="false">IF(COUNTIF(Final_CB_B3_V5!$C$2:$C$496,C6)&gt;=1,"YES","NO")</f>
        <v>YES</v>
      </c>
      <c r="F6" s="4" t="str">
        <f aca="false">IFERROR(__xludf.dummyfunction("""COMPUTED_VALUE"""),"measurement::and::reporting::of::code::coverage")</f>
        <v>measurement::and::reporting::of::code::coverage</v>
      </c>
      <c r="G6" s="4" t="str">
        <f aca="false">IFERROR(__xludf.dummyfunction("""COMPUTED_VALUE"""),"execution::automated::performance::tests::(jmeter)")</f>
        <v>execution::automated::performance::tests::(jmeter)</v>
      </c>
      <c r="H6" s="4" t="str">
        <f aca="false">IFERROR(__xludf.dummyfunction("""COMPUTED_VALUE"""),"execution::automated::randomized::tests")</f>
        <v>execution::automated::randomized::tests</v>
      </c>
    </row>
    <row r="7" customFormat="false" ht="15.75" hidden="false" customHeight="false" outlineLevel="0" collapsed="false">
      <c r="A7" s="3" t="s">
        <v>1432</v>
      </c>
      <c r="B7" s="3" t="str">
        <f aca="false">IF(COUNTIF(Final_CB_B3_V5!$B$2:$B$496,A7)&gt;=1,"YES","NO")</f>
        <v>YES</v>
      </c>
      <c r="C7" s="3" t="s">
        <v>1433</v>
      </c>
      <c r="D7" s="3" t="str">
        <f aca="false">IF(COUNTIF(Final_CB_B3_V5!$C$2:$C$496,C7)&gt;=1,"YES","NO")</f>
        <v>YES</v>
      </c>
      <c r="F7" s="4" t="str">
        <f aca="false">IFERROR(__xludf.dummyfunction("""COMPUTED_VALUE"""),"testing::in::different::python::versions")</f>
        <v>testing::in::different::python::versions</v>
      </c>
      <c r="G7" s="4" t="str">
        <f aca="false">IFERROR(__xludf.dummyfunction("""COMPUTED_VALUE"""),"execution::automated::performance::tests::(jmeter/micro)")</f>
        <v>execution::automated::performance::tests::(jmeter/micro)</v>
      </c>
      <c r="H7" s="4" t="str">
        <f aca="false">IFERROR(__xludf.dummyfunction("""COMPUTED_VALUE"""),"NA")</f>
        <v>NA</v>
      </c>
    </row>
    <row r="8" customFormat="false" ht="15.75" hidden="false" customHeight="false" outlineLevel="0" collapsed="false">
      <c r="A8" s="3" t="s">
        <v>1434</v>
      </c>
      <c r="B8" s="3" t="str">
        <f aca="false">IF(COUNTIF(Final_CB_B3_V5!$B$2:$B$496,A8)&gt;=1,"YES","NO")</f>
        <v>YES</v>
      </c>
      <c r="C8" s="3" t="s">
        <v>1435</v>
      </c>
      <c r="D8" s="3" t="str">
        <f aca="false">IF(COUNTIF(Final_CB_B3_V5!$C$2:$C$496,C8)&gt;=1,"YES","NO")</f>
        <v>YES</v>
      </c>
      <c r="F8" s="4" t="str">
        <f aca="false">IFERROR(__xludf.dummyfunction("""COMPUTED_VALUE"""),"testing::in::different::VM::(types)::versions")</f>
        <v>testing::in::different::VM::(types)::versions</v>
      </c>
      <c r="G8" s="4" t="str">
        <f aca="false">IFERROR(__xludf.dummyfunction("""COMPUTED_VALUE"""),"execution::automated::randomized::tests::(carrotsearch)")</f>
        <v>execution::automated::randomized::tests::(carrotsearch)</v>
      </c>
      <c r="H8" s="4" t="str">
        <f aca="false">IFERROR(__xludf.dummyfunction("""COMPUTED_VALUE"""),"usage::automated::dependency::resolution::conflicts")</f>
        <v>usage::automated::dependency::resolution::conflicts</v>
      </c>
    </row>
    <row r="9" customFormat="false" ht="15.75" hidden="false" customHeight="false" outlineLevel="0" collapsed="false">
      <c r="A9" s="3" t="s">
        <v>1436</v>
      </c>
      <c r="B9" s="3" t="str">
        <f aca="false">IF(COUNTIF(Final_CB_B3_V5!$B$2:$B$496,A9)&gt;=1,"YES","NO")</f>
        <v>YES</v>
      </c>
      <c r="C9" s="3" t="s">
        <v>1437</v>
      </c>
      <c r="D9" s="3" t="str">
        <f aca="false">IF(COUNTIF(Final_CB_B3_V5!$C$2:$C$496,C9)&gt;=1,"YES","NO")</f>
        <v>YES</v>
      </c>
      <c r="F9" s="4" t="str">
        <f aca="false">IFERROR(__xludf.dummyfunction("""COMPUTED_VALUE"""),"usage::CI")</f>
        <v>usage::CI</v>
      </c>
      <c r="G9" s="4" t="str">
        <f aca="false">IFERROR(__xludf.dummyfunction("""COMPUTED_VALUE"""),"execution::automated::test::config::generation")</f>
        <v>execution::automated::test::config::generation</v>
      </c>
      <c r="H9" s="4" t="str">
        <f aca="false">IFERROR(__xludf.dummyfunction("""COMPUTED_VALUE"""),"usage::automated::dependency::resolution::conflicts::(shaded::dependencies)")</f>
        <v>usage::automated::dependency::resolution::conflicts::(shaded::dependencies)</v>
      </c>
    </row>
    <row r="10" customFormat="false" ht="15.75" hidden="false" customHeight="false" outlineLevel="0" collapsed="false">
      <c r="A10" s="3" t="s">
        <v>1437</v>
      </c>
      <c r="B10" s="3" t="str">
        <f aca="false">IF(COUNTIF(Final_CB_B3_V5!$B$2:$B$496,A10)&gt;=1,"YES","NO")</f>
        <v>YES</v>
      </c>
      <c r="C10" s="3" t="s">
        <v>1438</v>
      </c>
      <c r="D10" s="3" t="str">
        <f aca="false">IF(COUNTIF(Final_CB_B3_V5!$C$2:$C$496,C10)&gt;=1,"YES","NO")</f>
        <v>YES</v>
      </c>
      <c r="F10" s="4" t="str">
        <f aca="false">IFERROR(__xludf.dummyfunction("""COMPUTED_VALUE"""),"usage::of::bug::finding::static::analysis::tools")</f>
        <v>usage::of::bug::finding::static::analysis::tools</v>
      </c>
      <c r="G10" s="4" t="str">
        <f aca="false">IFERROR(__xludf.dummyfunction("""COMPUTED_VALUE"""),"execution::automated::testenv::setup::(devstack)")</f>
        <v>execution::automated::testenv::setup::(devstack)</v>
      </c>
      <c r="H10" s="4" t="str">
        <f aca="false">IFERROR(__xludf.dummyfunction("""COMPUTED_VALUE"""),"usage::automated::project::build")</f>
        <v>usage::automated::project::build</v>
      </c>
    </row>
    <row r="11" customFormat="false" ht="15.75" hidden="false" customHeight="false" outlineLevel="0" collapsed="false">
      <c r="A11" s="3" t="s">
        <v>1439</v>
      </c>
      <c r="B11" s="3" t="str">
        <f aca="false">IF(COUNTIF(Final_CB_B3_V5!$B$2:$B$496,A11)&gt;=1,"YES","NO")</f>
        <v>YES</v>
      </c>
      <c r="C11" s="3" t="s">
        <v>1440</v>
      </c>
      <c r="D11" s="3" t="str">
        <f aca="false">IF(COUNTIF(Final_CB_B3_V5!$C$2:$C$496,C11)&gt;=1,"YES","NO")</f>
        <v>YES</v>
      </c>
      <c r="F11" s="4" t="str">
        <f aca="false">IFERROR(__xludf.dummyfunction("""COMPUTED_VALUE"""),"usage::of::building:.and::distribution::tools::specific::OS")</f>
        <v>usage::of::building:.and::distribution::tools::specific::OS</v>
      </c>
      <c r="G11" s="4" t="str">
        <f aca="false">IFERROR(__xludf.dummyfunction("""COMPUTED_VALUE"""),"execution::automated::testenv::setup::(grenade)")</f>
        <v>execution::automated::testenv::setup::(grenade)</v>
      </c>
      <c r="H11" s="4" t="str">
        <f aca="false">IFERROR(__xludf.dummyfunction("""COMPUTED_VALUE"""),"usage::of::building:.and::distribution::tools")</f>
        <v>usage::of::building:.and::distribution::tools</v>
      </c>
    </row>
    <row r="12" customFormat="false" ht="15.75" hidden="false" customHeight="false" outlineLevel="0" collapsed="false">
      <c r="A12" s="3" t="s">
        <v>1441</v>
      </c>
      <c r="B12" s="3" t="str">
        <f aca="false">IF(COUNTIF(Final_CB_B3_V5!$B$2:$B$496,A12)&gt;=1,"YES","NO")</f>
        <v>YES</v>
      </c>
      <c r="C12" s="3" t="s">
        <v>1442</v>
      </c>
      <c r="D12" s="3" t="str">
        <f aca="false">IF(COUNTIF(Final_CB_B3_V5!$C$2:$C$496,C12)&gt;=1,"YES","NO")</f>
        <v>YES</v>
      </c>
      <c r="F12" s="4" t="str">
        <f aca="false">IFERROR(__xludf.dummyfunction("""COMPUTED_VALUE"""),"usage::of::config::file::(d2to1/pbr)::instead::of::write::config::in::code")</f>
        <v>usage::of::config::file::(d2to1/pbr)::instead::of::write::config::in::code</v>
      </c>
      <c r="G12" s="4" t="str">
        <f aca="false">IFERROR(__xludf.dummyfunction("""COMPUTED_VALUE"""),"execution::automated::unit::and::integration::tests::(junit)")</f>
        <v>execution::automated::unit::and::integration::tests::(junit)</v>
      </c>
      <c r="H12" s="4" t="str">
        <f aca="false">IFERROR(__xludf.dummyfunction("""COMPUTED_VALUE"""),"usage::of::config::file::instead::of::write::config::in::code")</f>
        <v>usage::of::config::file::instead::of::write::config::in::code</v>
      </c>
    </row>
    <row r="13" customFormat="false" ht="15.75" hidden="false" customHeight="false" outlineLevel="0" collapsed="false">
      <c r="A13" s="3" t="s">
        <v>1443</v>
      </c>
      <c r="B13" s="3" t="str">
        <f aca="false">IF(COUNTIF(Final_CB_B3_V5!$B$2:$B$496,A13)&gt;=1,"YES","NO")</f>
        <v>YES</v>
      </c>
      <c r="C13" s="3" t="s">
        <v>1358</v>
      </c>
      <c r="D13" s="3" t="str">
        <f aca="false">IF(COUNTIF(Final_CB_B3_V5!$C$2:$C$496,C13)&gt;=1,"YES","NO")</f>
        <v>YES</v>
      </c>
      <c r="F13" s="4" t="str">
        <f aca="false">IFERROR(__xludf.dummyfunction("""COMPUTED_VALUE"""),"usage::of::config::file::(PBR)::instead::of::write::config::in::code")</f>
        <v>usage::of::config::file::(PBR)::instead::of::write::config::in::code</v>
      </c>
      <c r="G13" s="4" t="str">
        <f aca="false">IFERROR(__xludf.dummyfunction("""COMPUTED_VALUE"""),"execution::automated::unit::and::integration::tests::(microsoft::vmware::ibm)")</f>
        <v>execution::automated::unit::and::integration::tests::(microsoft::vmware::ibm)</v>
      </c>
      <c r="H13" s="4" t="str">
        <f aca="false">IFERROR(__xludf.dummyfunction("""COMPUTED_VALUE"""),"usage::of::generic::coding::and::security::conventions::apis")</f>
        <v>usage::of::generic::coding::and::security::conventions::apis</v>
      </c>
    </row>
    <row r="14" customFormat="false" ht="15.75" hidden="false" customHeight="false" outlineLevel="0" collapsed="false">
      <c r="A14" s="3" t="s">
        <v>1438</v>
      </c>
      <c r="B14" s="3" t="str">
        <f aca="false">IF(COUNTIF(Final_CB_B3_V5!$B$2:$B$496,A14)&gt;=1,"YES","NO")</f>
        <v>YES</v>
      </c>
      <c r="C14" s="3" t="s">
        <v>1444</v>
      </c>
      <c r="D14" s="3" t="str">
        <f aca="false">IF(COUNTIF(Final_CB_B3_V5!$C$2:$C$496,C14)&gt;=1,"YES","NO")</f>
        <v>YES</v>
      </c>
      <c r="F14" s="4" t="str">
        <f aca="false">IFERROR(__xludf.dummyfunction("""COMPUTED_VALUE"""),"usage::of::generic::coding::conventions::(pep8)")</f>
        <v>usage::of::generic::coding::conventions::(pep8)</v>
      </c>
      <c r="G14" s="4" t="str">
        <f aca="false">IFERROR(__xludf.dummyfunction("""COMPUTED_VALUE"""),"execution::automated::unit::and::integration::tests::(nova::tox::functional)")</f>
        <v>execution::automated::unit::and::integration::tests::(nova::tox::functional)</v>
      </c>
      <c r="H14" s="4" t="str">
        <f aca="false">IFERROR(__xludf.dummyfunction("""COMPUTED_VALUE"""),"usage::of::own::style::checking::static::analysis::rules")</f>
        <v>usage::of::own::style::checking::static::analysis::rules</v>
      </c>
    </row>
    <row r="15" customFormat="false" ht="15.75" hidden="false" customHeight="false" outlineLevel="0" collapsed="false">
      <c r="A15" s="3" t="s">
        <v>1445</v>
      </c>
      <c r="B15" s="3" t="str">
        <f aca="false">IF(COUNTIF(Final_CB_B3_V5!$B$2:$B$496,A15)&gt;=1,"YES","NO")</f>
        <v>YES</v>
      </c>
      <c r="C15" s="3" t="s">
        <v>1446</v>
      </c>
      <c r="D15" s="3" t="str">
        <f aca="false">IF(COUNTIF(Final_CB_B3_V5!$C$2:$C$496,C15)&gt;=1,"YES","NO")</f>
        <v>YES</v>
      </c>
      <c r="F15" s="4" t="str">
        <f aca="false">IFERROR(__xludf.dummyfunction("""COMPUTED_VALUE"""),"usage::of::pre-commit::hooks")</f>
        <v>usage::of::pre-commit::hooks</v>
      </c>
      <c r="G15" s="4" t="str">
        <f aca="false">IFERROR(__xludf.dummyfunction("""COMPUTED_VALUE"""),"execution::automated::unit::and::integration::tests::(tempest)")</f>
        <v>execution::automated::unit::and::integration::tests::(tempest)</v>
      </c>
      <c r="H15" s="4" t="str">
        <f aca="false">IFERROR(__xludf.dummyfunction("""COMPUTED_VALUE"""),"usage::of::own::style::ignoring::code::coverage")</f>
        <v>usage::of::own::style::ignoring::code::coverage</v>
      </c>
    </row>
    <row r="16" customFormat="false" ht="15.75" hidden="false" customHeight="false" outlineLevel="0" collapsed="false">
      <c r="A16" s="3" t="s">
        <v>1447</v>
      </c>
      <c r="B16" s="3" t="str">
        <f aca="false">IF(COUNTIF(Final_CB_B3_V5!$B$2:$B$496,A16)&gt;=1,"YES","NO")</f>
        <v>YES</v>
      </c>
      <c r="C16" s="3" t="s">
        <v>1448</v>
      </c>
      <c r="D16" s="3" t="str">
        <f aca="false">IF(COUNTIF(Final_CB_B3_V5!$C$2:$C$496,C16)&gt;=1,"YES","NO")</f>
        <v>YES</v>
      </c>
      <c r="F16" s="4" t="str">
        <f aca="false">IFERROR(__xludf.dummyfunction("""COMPUTED_VALUE"""),"usage::of::simple::config::file::(cfg)::and::config::in::code:.(mainly)")</f>
        <v>usage::of::simple::config::file::(cfg)::and::config::in::code:.(mainly)</v>
      </c>
      <c r="G16" s="4" t="str">
        <f aca="false">IFERROR(__xludf.dummyfunction("""COMPUTED_VALUE"""),"execution::automated::unit::and::integration::tests::(testng)")</f>
        <v>execution::automated::unit::and::integration::tests::(testng)</v>
      </c>
      <c r="H16" s="4" t="str">
        <f aca="false">IFERROR(__xludf.dummyfunction("""COMPUTED_VALUE"""),"usage::of::style::checking::static::analysis::tools")</f>
        <v>usage::of::style::checking::static::analysis::tools</v>
      </c>
    </row>
    <row r="17" customFormat="false" ht="15.75" hidden="false" customHeight="false" outlineLevel="0" collapsed="false">
      <c r="A17" s="3" t="s">
        <v>1449</v>
      </c>
      <c r="B17" s="3" t="str">
        <f aca="false">IF(COUNTIF(Final_CB_B3_V5!$B$2:$B$496,A17)&gt;=1,"YES","NO")</f>
        <v>YES</v>
      </c>
      <c r="C17" s="3" t="s">
        <v>1450</v>
      </c>
      <c r="D17" s="3" t="str">
        <f aca="false">IF(COUNTIF(Final_CB_B3_V5!$C$2:$C$496,C17)&gt;=1,"YES","NO")</f>
        <v>YES</v>
      </c>
      <c r="F17" s="4" t="str">
        <f aca="false">IFERROR(__xludf.dummyfunction("""COMPUTED_VALUE"""),"usage::of::virtual::environments")</f>
        <v>usage::of::virtual::environments</v>
      </c>
      <c r="G17" s="4" t="str">
        <f aca="false">IFERROR(__xludf.dummyfunction("""COMPUTED_VALUE"""),"usage::automated::dependency::resolution")</f>
        <v>usage::automated::dependency::resolution</v>
      </c>
      <c r="H17" s="4" t="str">
        <f aca="false">IFERROR(__xludf.dummyfunction("""COMPUTED_VALUE"""),"usage::of::testing::conventions::and::practices")</f>
        <v>usage::of::testing::conventions::and::practices</v>
      </c>
    </row>
    <row r="18" customFormat="false" ht="15.75" hidden="false" customHeight="false" outlineLevel="0" collapsed="false">
      <c r="A18" s="3" t="s">
        <v>1451</v>
      </c>
      <c r="B18" s="3" t="str">
        <f aca="false">IF(COUNTIF(Final_CB_B3_V5!$B$2:$B$496,A18)&gt;=1,"YES","NO")</f>
        <v>YES</v>
      </c>
      <c r="C18" s="3" t="s">
        <v>1452</v>
      </c>
      <c r="D18" s="3" t="str">
        <f aca="false">IF(COUNTIF(Final_CB_B3_V5!$C$2:$C$496,C18)&gt;=1,"YES","NO")</f>
        <v>YES</v>
      </c>
      <c r="G18" s="4" t="str">
        <f aca="false">IFERROR(__xludf.dummyfunction("""COMPUTED_VALUE"""),"usage::automated::dependency::resolution::(gate::nova::requirements)")</f>
        <v>usage::automated::dependency::resolution::(gate::nova::requirements)</v>
      </c>
      <c r="H18" s="4" t="str">
        <f aca="false">IFERROR(__xludf.dummyfunction("""COMPUTED_VALUE"""),"usage::of::workflow::testing::tools")</f>
        <v>usage::of::workflow::testing::tools</v>
      </c>
    </row>
    <row r="19" customFormat="false" ht="15.75" hidden="false" customHeight="false" outlineLevel="0" collapsed="false">
      <c r="A19" s="3" t="s">
        <v>1453</v>
      </c>
      <c r="B19" s="3" t="str">
        <f aca="false">IF(COUNTIF(Final_CB_B3_V5!$B$2:$B$496,A19)&gt;=1,"YES","NO")</f>
        <v>YES</v>
      </c>
      <c r="C19" s="3" t="s">
        <v>1454</v>
      </c>
      <c r="D19" s="3" t="str">
        <f aca="false">IF(COUNTIF(Final_CB_B3_V5!$C$2:$C$496,C19)&gt;=1,"YES","NO")</f>
        <v>YES</v>
      </c>
      <c r="G19" s="4" t="str">
        <f aca="false">IFERROR(__xludf.dummyfunction("""COMPUTED_VALUE"""),"usage::automated::dependency::resolution::(jarjar)")</f>
        <v>usage::automated::dependency::resolution::(jarjar)</v>
      </c>
      <c r="H19" s="4" t="str">
        <f aca="false">IFERROR(__xludf.dummyfunction("""COMPUTED_VALUE"""),"use::wrapper::to::avoid::SO::platform::dependencies::when::building")</f>
        <v>use::wrapper::to::avoid::SO::platform::dependencies::when::building</v>
      </c>
    </row>
    <row r="20" customFormat="false" ht="15.75" hidden="false" customHeight="false" outlineLevel="0" collapsed="false">
      <c r="A20" s="3" t="s">
        <v>1440</v>
      </c>
      <c r="B20" s="3" t="str">
        <f aca="false">IF(COUNTIF(Final_CB_B3_V5!$B$2:$B$496,A20)&gt;=1,"YES","NO")</f>
        <v>YES</v>
      </c>
      <c r="C20" s="3" t="s">
        <v>1455</v>
      </c>
      <c r="D20" s="3" t="str">
        <f aca="false">IF(COUNTIF(Final_CB_B3_V5!$C$2:$C$496,C20)&gt;=1,"YES","NO")</f>
        <v>YES</v>
      </c>
      <c r="G20" s="4" t="str">
        <f aca="false">IFERROR(__xludf.dummyfunction("""COMPUTED_VALUE"""),"usage::automated::project::build::(gradle)")</f>
        <v>usage::automated::project::build::(gradle)</v>
      </c>
      <c r="H20" s="4"/>
    </row>
    <row r="21" customFormat="false" ht="15.75" hidden="false" customHeight="false" outlineLevel="0" collapsed="false">
      <c r="A21" s="3" t="s">
        <v>1442</v>
      </c>
      <c r="B21" s="3" t="str">
        <f aca="false">IF(COUNTIF(Final_CB_B3_V5!$B$2:$B$496,A21)&gt;=1,"YES","NO")</f>
        <v>YES</v>
      </c>
      <c r="C21" s="3" t="s">
        <v>1456</v>
      </c>
      <c r="D21" s="3" t="str">
        <f aca="false">IF(COUNTIF(Final_CB_B3_V5!$C$2:$C$496,C21)&gt;=1,"YES","NO")</f>
        <v>YES</v>
      </c>
      <c r="G21" s="4" t="str">
        <f aca="false">IFERROR(__xludf.dummyfunction("""COMPUTED_VALUE"""),"usage::automated::project::build::(maven)")</f>
        <v>usage::automated::project::build::(maven)</v>
      </c>
      <c r="H21" s="4"/>
    </row>
    <row r="22" customFormat="false" ht="15.75" hidden="false" customHeight="false" outlineLevel="0" collapsed="false">
      <c r="A22" s="3" t="s">
        <v>1444</v>
      </c>
      <c r="B22" s="3" t="str">
        <f aca="false">IF(COUNTIF(Final_CB_B3_V5!$B$2:$B$496,A22)&gt;=1,"YES","NO")</f>
        <v>YES</v>
      </c>
      <c r="C22" s="3" t="s">
        <v>1457</v>
      </c>
      <c r="D22" s="3" t="str">
        <f aca="false">IF(COUNTIF(Final_CB_B3_V5!$C$2:$C$496,C22)&gt;=1,"YES","NO")</f>
        <v>YES</v>
      </c>
      <c r="G22" s="4" t="str">
        <f aca="false">IFERROR(__xludf.dummyfunction("""COMPUTED_VALUE"""),"usage::of::style::checking::static::analysis::tools::(pylint)")</f>
        <v>usage::of::style::checking::static::analysis::tools::(pylint)</v>
      </c>
      <c r="H22" s="4"/>
    </row>
    <row r="23" customFormat="false" ht="15.75" hidden="false" customHeight="false" outlineLevel="0" collapsed="false">
      <c r="A23" s="3" t="s">
        <v>1446</v>
      </c>
      <c r="B23" s="3" t="str">
        <f aca="false">IF(COUNTIF(Final_CB_B3_V5!$B$2:$B$496,A23)&gt;=1,"YES","NO")</f>
        <v>YES</v>
      </c>
      <c r="C23" s="3" t="s">
        <v>1458</v>
      </c>
      <c r="D23" s="3" t="str">
        <f aca="false">IF(COUNTIF(Final_CB_B3_V5!$C$2:$C$496,C23)&gt;=1,"YES","NO")</f>
        <v>YES</v>
      </c>
      <c r="G23" s="4"/>
      <c r="H23" s="4"/>
    </row>
    <row r="24" customFormat="false" ht="15.75" hidden="false" customHeight="false" outlineLevel="0" collapsed="false">
      <c r="A24" s="3" t="s">
        <v>1459</v>
      </c>
      <c r="B24" s="3" t="str">
        <f aca="false">IF(COUNTIF(Final_CB_B3_V5!$B$2:$B$496,A24)&gt;=1,"YES","NO")</f>
        <v>YES</v>
      </c>
      <c r="C24" s="3" t="s">
        <v>1460</v>
      </c>
      <c r="D24" s="3" t="str">
        <f aca="false">IF(COUNTIF(Final_CB_B3_V5!$C$2:$C$496,C24)&gt;=1,"YES","NO")</f>
        <v>YES</v>
      </c>
      <c r="G24" s="4"/>
      <c r="H24" s="4"/>
    </row>
    <row r="25" customFormat="false" ht="15.75" hidden="false" customHeight="false" outlineLevel="0" collapsed="false">
      <c r="A25" s="3" t="s">
        <v>1461</v>
      </c>
      <c r="B25" s="3" t="str">
        <f aca="false">IF(COUNTIF(Final_CB_B3_V5!$B$2:$B$496,A25)&gt;=1,"YES","NO")</f>
        <v>YES</v>
      </c>
      <c r="C25" s="3" t="s">
        <v>1462</v>
      </c>
      <c r="D25" s="3" t="str">
        <f aca="false">IF(COUNTIF(Final_CB_B3_V5!$C$2:$C$496,C25)&gt;=1,"YES","NO")</f>
        <v>YES</v>
      </c>
      <c r="G25" s="4"/>
      <c r="H25" s="4"/>
    </row>
    <row r="26" customFormat="false" ht="15.75" hidden="false" customHeight="false" outlineLevel="0" collapsed="false">
      <c r="A26" s="3" t="s">
        <v>1463</v>
      </c>
      <c r="B26" s="3" t="str">
        <f aca="false">IF(COUNTIF(Final_CB_B3_V5!$B$2:$B$496,A26)&gt;=1,"YES","NO")</f>
        <v>YES</v>
      </c>
      <c r="C26" s="3" t="s">
        <v>1464</v>
      </c>
      <c r="D26" s="3" t="str">
        <f aca="false">IF(COUNTIF(Final_CB_B3_V5!$C$2:$C$496,C26)&gt;=1,"YES","NO")</f>
        <v>YES</v>
      </c>
      <c r="G26" s="4"/>
      <c r="H26" s="4"/>
    </row>
    <row r="27" customFormat="false" ht="15.75" hidden="false" customHeight="false" outlineLevel="0" collapsed="false">
      <c r="A27" s="3" t="s">
        <v>1465</v>
      </c>
      <c r="B27" s="3" t="str">
        <f aca="false">IF(COUNTIF(Final_CB_B3_V5!$B$2:$B$496,A27)&gt;=1,"YES","NO")</f>
        <v>YES</v>
      </c>
      <c r="C27" s="3" t="s">
        <v>1466</v>
      </c>
      <c r="D27" s="3" t="str">
        <f aca="false">IF(COUNTIF(Final_CB_B3_V5!$C$2:$C$496,C27)&gt;=1,"YES","NO")</f>
        <v>YES</v>
      </c>
      <c r="G27" s="4"/>
      <c r="H27" s="4"/>
    </row>
    <row r="28" customFormat="false" ht="15.75" hidden="false" customHeight="false" outlineLevel="0" collapsed="false">
      <c r="A28" s="3" t="s">
        <v>1467</v>
      </c>
      <c r="B28" s="3" t="str">
        <f aca="false">IF(COUNTIF(Final_CB_B3_V5!$B$2:$B$496,A28)&gt;=1,"YES","NO")</f>
        <v>YES</v>
      </c>
      <c r="C28" s="3" t="s">
        <v>1468</v>
      </c>
      <c r="D28" s="3" t="str">
        <f aca="false">IF(COUNTIF(Final_CB_B3_V5!$C$2:$C$496,C28)&gt;=1,"YES","NO")</f>
        <v>YES</v>
      </c>
      <c r="G28" s="4"/>
      <c r="H28" s="4"/>
    </row>
    <row r="29" customFormat="false" ht="15.75" hidden="false" customHeight="false" outlineLevel="0" collapsed="false">
      <c r="A29" s="3" t="s">
        <v>1454</v>
      </c>
      <c r="B29" s="3" t="str">
        <f aca="false">IF(COUNTIF(Final_CB_B3_V5!$B$2:$B$496,A29)&gt;=1,"YES","NO")</f>
        <v>YES</v>
      </c>
      <c r="C29" s="3" t="s">
        <v>1469</v>
      </c>
      <c r="D29" s="3" t="str">
        <f aca="false">IF(COUNTIF(Final_CB_B3_V5!$C$2:$C$496,C29)&gt;=1,"YES","NO")</f>
        <v>YES</v>
      </c>
      <c r="G29" s="4"/>
      <c r="H29" s="4"/>
    </row>
    <row r="30" customFormat="false" ht="15.75" hidden="false" customHeight="false" outlineLevel="0" collapsed="false">
      <c r="A30" s="3" t="s">
        <v>1455</v>
      </c>
      <c r="B30" s="3" t="str">
        <f aca="false">IF(COUNTIF(Final_CB_B3_V5!$B$2:$B$496,A30)&gt;=1,"YES","NO")</f>
        <v>YES</v>
      </c>
      <c r="C30" s="3" t="s">
        <v>1470</v>
      </c>
      <c r="D30" s="3" t="str">
        <f aca="false">IF(COUNTIF(Final_CB_B3_V5!$C$2:$C$496,C30)&gt;=1,"YES","NO")</f>
        <v>YES</v>
      </c>
      <c r="G30" s="4"/>
      <c r="H30" s="4"/>
    </row>
    <row r="31" customFormat="false" ht="15.75" hidden="false" customHeight="false" outlineLevel="0" collapsed="false">
      <c r="A31" s="3" t="s">
        <v>1457</v>
      </c>
      <c r="B31" s="3" t="str">
        <f aca="false">IF(COUNTIF(Final_CB_B3_V5!$B$2:$B$496,A31)&gt;=1,"YES","NO")</f>
        <v>YES</v>
      </c>
      <c r="C31" s="3" t="s">
        <v>1471</v>
      </c>
      <c r="D31" s="3" t="str">
        <f aca="false">IF(COUNTIF(Final_CB_B3_V5!$C$2:$C$496,C31)&gt;=1,"YES","NO")</f>
        <v>YES</v>
      </c>
      <c r="G31" s="4"/>
      <c r="H31" s="4"/>
    </row>
    <row r="32" customFormat="false" ht="15.75" hidden="false" customHeight="false" outlineLevel="0" collapsed="false">
      <c r="A32" s="3" t="s">
        <v>1458</v>
      </c>
      <c r="B32" s="3" t="str">
        <f aca="false">IF(COUNTIF(Final_CB_B3_V5!$B$2:$B$496,A32)&gt;=1,"YES","NO")</f>
        <v>YES</v>
      </c>
      <c r="C32" s="3" t="s">
        <v>1472</v>
      </c>
      <c r="D32" s="3" t="str">
        <f aca="false">IF(COUNTIF(Final_CB_B3_V5!$C$2:$C$496,C32)&gt;=1,"YES","NO")</f>
        <v>YES</v>
      </c>
      <c r="G32" s="4"/>
      <c r="H32" s="4"/>
    </row>
    <row r="33" customFormat="false" ht="15.75" hidden="false" customHeight="false" outlineLevel="0" collapsed="false">
      <c r="A33" s="3" t="s">
        <v>1460</v>
      </c>
      <c r="B33" s="3" t="str">
        <f aca="false">IF(COUNTIF(Final_CB_B3_V5!$B$2:$B$496,A33)&gt;=1,"YES","NO")</f>
        <v>YES</v>
      </c>
      <c r="C33" s="3" t="s">
        <v>1473</v>
      </c>
      <c r="D33" s="3" t="str">
        <f aca="false">IF(COUNTIF(Final_CB_B3_V5!$C$2:$C$496,C33)&gt;=1,"YES","NO")</f>
        <v>YES</v>
      </c>
      <c r="G33" s="4"/>
      <c r="H33" s="4"/>
    </row>
    <row r="34" customFormat="false" ht="15.75" hidden="false" customHeight="false" outlineLevel="0" collapsed="false">
      <c r="A34" s="3" t="s">
        <v>1466</v>
      </c>
      <c r="B34" s="3" t="str">
        <f aca="false">IF(COUNTIF(Final_CB_B3_V5!$B$2:$B$496,A34)&gt;=1,"YES","NO")</f>
        <v>YES</v>
      </c>
      <c r="C34" s="3" t="s">
        <v>1474</v>
      </c>
      <c r="D34" s="3" t="str">
        <f aca="false">IF(COUNTIF(Final_CB_B3_V5!$C$2:$C$496,C34)&gt;=1,"YES","NO")</f>
        <v>YES</v>
      </c>
      <c r="G34" s="4"/>
      <c r="H34" s="4"/>
    </row>
    <row r="35" customFormat="false" ht="15.75" hidden="false" customHeight="false" outlineLevel="0" collapsed="false">
      <c r="A35" s="3" t="s">
        <v>1470</v>
      </c>
      <c r="B35" s="3" t="str">
        <f aca="false">IF(COUNTIF(Final_CB_B3_V5!$B$2:$B$496,A35)&gt;=1,"YES","NO")</f>
        <v>YES</v>
      </c>
      <c r="C35" s="3" t="s">
        <v>1475</v>
      </c>
      <c r="D35" s="3" t="str">
        <f aca="false">IF(COUNTIF(Final_CB_B3_V5!$C$2:$C$496,C35)&gt;=1,"YES","NO")</f>
        <v>YES</v>
      </c>
      <c r="G35" s="4"/>
      <c r="H35" s="4"/>
    </row>
    <row r="36" customFormat="false" ht="15.75" hidden="false" customHeight="false" outlineLevel="0" collapsed="false">
      <c r="A36" s="3" t="s">
        <v>1471</v>
      </c>
      <c r="B36" s="3" t="str">
        <f aca="false">IF(COUNTIF(Final_CB_B3_V5!$B$2:$B$496,A36)&gt;=1,"YES","NO")</f>
        <v>YES</v>
      </c>
      <c r="C36" s="3" t="s">
        <v>1476</v>
      </c>
      <c r="D36" s="3" t="str">
        <f aca="false">IF(COUNTIF(Final_CB_B3_V5!$C$2:$C$496,C36)&gt;=1,"YES","NO")</f>
        <v>YES</v>
      </c>
      <c r="G36" s="4"/>
      <c r="H36" s="4"/>
    </row>
    <row r="37" customFormat="false" ht="15.75" hidden="false" customHeight="false" outlineLevel="0" collapsed="false">
      <c r="A37" s="3" t="s">
        <v>1477</v>
      </c>
      <c r="B37" s="3" t="str">
        <f aca="false">IF(COUNTIF(Final_CB_B3_V5!$B$2:$B$496,A37)&gt;=1,"YES","NO")</f>
        <v>YES</v>
      </c>
      <c r="D37" s="3" t="str">
        <f aca="false">IF(COUNTIF(Final_CB_B3_V5!$C$2:$C$496,C37)&gt;=1,"YES","NO")</f>
        <v>NO</v>
      </c>
      <c r="G37" s="4"/>
      <c r="H37" s="4"/>
    </row>
    <row r="38" customFormat="false" ht="15.75" hidden="false" customHeight="false" outlineLevel="0" collapsed="false">
      <c r="A38" s="3" t="s">
        <v>1474</v>
      </c>
      <c r="B38" s="3" t="str">
        <f aca="false">IF(COUNTIF(Final_CB_B3_V5!$B$2:$B$496,A38)&gt;=1,"YES","NO")</f>
        <v>YES</v>
      </c>
      <c r="D38" s="3" t="str">
        <f aca="false">IF(COUNTIF(Final_CB_B3_V5!$C$2:$C$496,C38)&gt;=1,"YES","NO")</f>
        <v>NO</v>
      </c>
      <c r="G38" s="4"/>
      <c r="H38" s="4"/>
    </row>
    <row r="39" customFormat="false" ht="15.75" hidden="false" customHeight="false" outlineLevel="0" collapsed="false">
      <c r="B39" s="3" t="str">
        <f aca="false">IF(COUNTIF(Final_CB_B3_V5!$B$2:$B$496,A39)&gt;=1,"YES","NO")</f>
        <v>NO</v>
      </c>
      <c r="D39" s="3" t="str">
        <f aca="false">IF(COUNTIF(Final_CB_B3_V5!$C$2:$C$496,C39)&gt;=1,"YES","NO")</f>
        <v>NO</v>
      </c>
      <c r="G39" s="4"/>
      <c r="H39" s="4"/>
    </row>
    <row r="40" customFormat="false" ht="15.75" hidden="false" customHeight="false" outlineLevel="0" collapsed="false">
      <c r="B40" s="3" t="str">
        <f aca="false">IF(COUNTIF(Final_CB_B3_V5!$B$2:$B$496,A40)&gt;=1,"YES","NO")</f>
        <v>NO</v>
      </c>
      <c r="D40" s="3" t="str">
        <f aca="false">IF(COUNTIF(Final_CB_B3_V5!$C$2:$C$496,C40)&gt;=1,"YES","NO")</f>
        <v>NO</v>
      </c>
      <c r="G40" s="4"/>
      <c r="H40" s="4"/>
    </row>
    <row r="41" customFormat="false" ht="15.75" hidden="false" customHeight="false" outlineLevel="0" collapsed="false">
      <c r="B41" s="3" t="str">
        <f aca="false">IF(COUNTIF(Final_CB_B3_V5!$B$2:$B$496,A41)&gt;=1,"YES","NO")</f>
        <v>NO</v>
      </c>
      <c r="D41" s="3" t="str">
        <f aca="false">IF(COUNTIF(Final_CB_B3_V5!$C$2:$C$496,C41)&gt;=1,"YES","NO")</f>
        <v>NO</v>
      </c>
      <c r="G41" s="4"/>
      <c r="H41" s="4"/>
    </row>
    <row r="42" customFormat="false" ht="15.75" hidden="false" customHeight="false" outlineLevel="0" collapsed="false">
      <c r="B42" s="3" t="str">
        <f aca="false">IF(COUNTIF(Final_CB_B3_V5!$B$2:$B$496,A42)&gt;=1,"YES","NO")</f>
        <v>NO</v>
      </c>
      <c r="D42" s="3" t="str">
        <f aca="false">IF(COUNTIF(Final_CB_B3_V5!$C$2:$C$496,C42)&gt;=1,"YES","NO")</f>
        <v>NO</v>
      </c>
      <c r="G42" s="4"/>
      <c r="H42" s="4"/>
    </row>
    <row r="43" customFormat="false" ht="15.75" hidden="false" customHeight="false" outlineLevel="0" collapsed="false">
      <c r="B43" s="3" t="str">
        <f aca="false">IF(COUNTIF(Final_CB_B3_V5!$B$2:$B$496,A43)&gt;=1,"YES","NO")</f>
        <v>NO</v>
      </c>
      <c r="D43" s="3" t="str">
        <f aca="false">IF(COUNTIF(Final_CB_B3_V5!$C$2:$C$496,C43)&gt;=1,"YES","NO")</f>
        <v>NO</v>
      </c>
      <c r="G43" s="4"/>
      <c r="H43" s="4"/>
    </row>
    <row r="44" customFormat="false" ht="15.75" hidden="false" customHeight="false" outlineLevel="0" collapsed="false">
      <c r="B44" s="3" t="str">
        <f aca="false">IF(COUNTIF(Final_CB_B3_V5!$B$2:$B$496,A44)&gt;=1,"YES","NO")</f>
        <v>NO</v>
      </c>
      <c r="D44" s="3" t="str">
        <f aca="false">IF(COUNTIF(Final_CB_B3_V5!$C$2:$C$496,C44)&gt;=1,"YES","NO")</f>
        <v>NO</v>
      </c>
      <c r="G44" s="4"/>
      <c r="H44" s="4"/>
    </row>
    <row r="45" customFormat="false" ht="15.75" hidden="false" customHeight="false" outlineLevel="0" collapsed="false">
      <c r="B45" s="3" t="str">
        <f aca="false">IF(COUNTIF(Final_CB_B3_V5!$B$2:$B$496,A45)&gt;=1,"YES","NO")</f>
        <v>NO</v>
      </c>
      <c r="D45" s="3" t="str">
        <f aca="false">IF(COUNTIF(Final_CB_B3_V5!$C$2:$C$496,C45)&gt;=1,"YES","NO")</f>
        <v>NO</v>
      </c>
      <c r="G45" s="4"/>
      <c r="H45" s="4"/>
    </row>
    <row r="46" customFormat="false" ht="15.75" hidden="false" customHeight="false" outlineLevel="0" collapsed="false">
      <c r="B46" s="3" t="str">
        <f aca="false">IF(COUNTIF(Final_CB_B3_V5!$B$2:$B$496,A46)&gt;=1,"YES","NO")</f>
        <v>NO</v>
      </c>
      <c r="D46" s="3" t="str">
        <f aca="false">IF(COUNTIF(Final_CB_B3_V5!$C$2:$C$496,C46)&gt;=1,"YES","NO")</f>
        <v>NO</v>
      </c>
      <c r="G46" s="4"/>
      <c r="H46" s="4"/>
    </row>
    <row r="47" customFormat="false" ht="15.75" hidden="false" customHeight="false" outlineLevel="0" collapsed="false">
      <c r="B47" s="3" t="str">
        <f aca="false">IF(COUNTIF(Final_CB_B3_V5!$B$2:$B$496,A47)&gt;=1,"YES","NO")</f>
        <v>NO</v>
      </c>
      <c r="D47" s="3" t="str">
        <f aca="false">IF(COUNTIF(Final_CB_B3_V5!$C$2:$C$496,C47)&gt;=1,"YES","NO")</f>
        <v>NO</v>
      </c>
      <c r="G47" s="4"/>
      <c r="H47" s="4"/>
    </row>
    <row r="48" customFormat="false" ht="15.75" hidden="false" customHeight="false" outlineLevel="0" collapsed="false">
      <c r="B48" s="3" t="str">
        <f aca="false">IF(COUNTIF(Final_CB_B3_V5!$B$2:$B$496,A48)&gt;=1,"YES","NO")</f>
        <v>NO</v>
      </c>
      <c r="D48" s="3" t="str">
        <f aca="false">IF(COUNTIF(Final_CB_B3_V5!$C$2:$C$496,C48)&gt;=1,"YES","NO")</f>
        <v>NO</v>
      </c>
      <c r="G48" s="4"/>
      <c r="H48" s="4"/>
    </row>
    <row r="49" customFormat="false" ht="15.75" hidden="false" customHeight="false" outlineLevel="0" collapsed="false">
      <c r="B49" s="3" t="str">
        <f aca="false">IF(COUNTIF(Final_CB_B3_V5!$B$2:$B$496,A49)&gt;=1,"YES","NO")</f>
        <v>NO</v>
      </c>
      <c r="D49" s="3" t="str">
        <f aca="false">IF(COUNTIF(Final_CB_B3_V5!$C$2:$C$496,C49)&gt;=1,"YES","NO")</f>
        <v>NO</v>
      </c>
      <c r="G49" s="4"/>
      <c r="H49" s="4"/>
    </row>
    <row r="50" customFormat="false" ht="15.75" hidden="false" customHeight="false" outlineLevel="0" collapsed="false">
      <c r="B50" s="3" t="str">
        <f aca="false">IF(COUNTIF(Final_CB_B3_V5!$B$2:$B$496,A50)&gt;=1,"YES","NO")</f>
        <v>NO</v>
      </c>
      <c r="D50" s="3" t="str">
        <f aca="false">IF(COUNTIF(Final_CB_B3_V5!$C$2:$C$496,C50)&gt;=1,"YES","NO")</f>
        <v>NO</v>
      </c>
      <c r="G50" s="4"/>
      <c r="H50" s="4"/>
    </row>
    <row r="51" customFormat="false" ht="15.75" hidden="false" customHeight="false" outlineLevel="0" collapsed="false">
      <c r="B51" s="3" t="str">
        <f aca="false">IF(COUNTIF(Final_CB_B3_V5!$B$2:$B$496,A51)&gt;=1,"YES","NO")</f>
        <v>NO</v>
      </c>
      <c r="D51" s="3" t="str">
        <f aca="false">IF(COUNTIF(Final_CB_B3_V5!$C$2:$C$496,C51)&gt;=1,"YES","NO")</f>
        <v>NO</v>
      </c>
      <c r="G51" s="4"/>
      <c r="H51" s="4"/>
    </row>
    <row r="52" customFormat="false" ht="15.75" hidden="false" customHeight="false" outlineLevel="0" collapsed="false">
      <c r="B52" s="3" t="str">
        <f aca="false">IF(COUNTIF(Final_CB_B3_V5!$B$2:$B$496,A52)&gt;=1,"YES","NO")</f>
        <v>NO</v>
      </c>
      <c r="D52" s="3" t="str">
        <f aca="false">IF(COUNTIF(Final_CB_B3_V5!$C$2:$C$496,C52)&gt;=1,"YES","NO")</f>
        <v>NO</v>
      </c>
      <c r="G52" s="4"/>
      <c r="H52" s="4"/>
    </row>
    <row r="53" customFormat="false" ht="15.75" hidden="false" customHeight="false" outlineLevel="0" collapsed="false">
      <c r="B53" s="3" t="str">
        <f aca="false">IF(COUNTIF(Final_CB_B3_V5!$B$2:$B$496,A53)&gt;=1,"YES","NO")</f>
        <v>NO</v>
      </c>
      <c r="D53" s="3" t="str">
        <f aca="false">IF(COUNTIF(Final_CB_B3_V5!$C$2:$C$496,C53)&gt;=1,"YES","NO")</f>
        <v>NO</v>
      </c>
      <c r="G53" s="4"/>
      <c r="H53" s="4"/>
    </row>
    <row r="54" customFormat="false" ht="15.75" hidden="false" customHeight="false" outlineLevel="0" collapsed="false">
      <c r="B54" s="3" t="str">
        <f aca="false">IF(COUNTIF(Final_CB_B3_V5!$B$2:$B$496,A54)&gt;=1,"YES","NO")</f>
        <v>NO</v>
      </c>
      <c r="D54" s="3" t="str">
        <f aca="false">IF(COUNTIF(Final_CB_B3_V5!$C$2:$C$496,C54)&gt;=1,"YES","NO")</f>
        <v>NO</v>
      </c>
      <c r="G54" s="4"/>
      <c r="H54" s="4"/>
    </row>
    <row r="55" customFormat="false" ht="15.75" hidden="false" customHeight="false" outlineLevel="0" collapsed="false">
      <c r="B55" s="3" t="str">
        <f aca="false">IF(COUNTIF(Final_CB_B3_V5!$B$2:$B$496,A55)&gt;=1,"YES","NO")</f>
        <v>NO</v>
      </c>
      <c r="D55" s="3" t="str">
        <f aca="false">IF(COUNTIF(Final_CB_B3_V5!$C$2:$C$496,C55)&gt;=1,"YES","NO")</f>
        <v>NO</v>
      </c>
      <c r="G55" s="4"/>
      <c r="H55" s="4"/>
    </row>
    <row r="56" customFormat="false" ht="15.75" hidden="false" customHeight="false" outlineLevel="0" collapsed="false">
      <c r="B56" s="3" t="str">
        <f aca="false">IF(COUNTIF(Final_CB_B3_V5!$B$2:$B$496,A56)&gt;=1,"YES","NO")</f>
        <v>NO</v>
      </c>
      <c r="D56" s="3" t="str">
        <f aca="false">IF(COUNTIF(Final_CB_B3_V5!$C$2:$C$496,C56)&gt;=1,"YES","NO")</f>
        <v>NO</v>
      </c>
      <c r="G56" s="4"/>
      <c r="H56" s="4"/>
    </row>
    <row r="57" customFormat="false" ht="15.75" hidden="false" customHeight="false" outlineLevel="0" collapsed="false">
      <c r="B57" s="3" t="str">
        <f aca="false">IF(COUNTIF(Final_CB_B3_V5!$B$2:$B$496,A57)&gt;=1,"YES","NO")</f>
        <v>NO</v>
      </c>
      <c r="D57" s="3" t="str">
        <f aca="false">IF(COUNTIF(Final_CB_B3_V5!$C$2:$C$496,C57)&gt;=1,"YES","NO")</f>
        <v>NO</v>
      </c>
      <c r="G57" s="4"/>
      <c r="H57" s="4"/>
    </row>
    <row r="58" customFormat="false" ht="15.75" hidden="false" customHeight="false" outlineLevel="0" collapsed="false">
      <c r="B58" s="3" t="str">
        <f aca="false">IF(COUNTIF(Final_CB_B3_V5!$B$2:$B$496,A58)&gt;=1,"YES","NO")</f>
        <v>NO</v>
      </c>
      <c r="D58" s="3" t="str">
        <f aca="false">IF(COUNTIF(Final_CB_B3_V5!$C$2:$C$496,C58)&gt;=1,"YES","NO")</f>
        <v>NO</v>
      </c>
      <c r="G58" s="4"/>
      <c r="H58" s="4"/>
    </row>
    <row r="59" customFormat="false" ht="15.75" hidden="false" customHeight="false" outlineLevel="0" collapsed="false">
      <c r="B59" s="3" t="str">
        <f aca="false">IF(COUNTIF(Final_CB_B3_V5!$B$2:$B$496,A59)&gt;=1,"YES","NO")</f>
        <v>NO</v>
      </c>
      <c r="D59" s="3" t="str">
        <f aca="false">IF(COUNTIF(Final_CB_B3_V5!$C$2:$C$496,C59)&gt;=1,"YES","NO")</f>
        <v>NO</v>
      </c>
      <c r="G59" s="4"/>
      <c r="H59" s="4"/>
    </row>
    <row r="60" customFormat="false" ht="15.75" hidden="false" customHeight="false" outlineLevel="0" collapsed="false">
      <c r="B60" s="3" t="str">
        <f aca="false">IF(COUNTIF(Final_CB_B3_V5!$B$2:$B$496,A60)&gt;=1,"YES","NO")</f>
        <v>NO</v>
      </c>
      <c r="D60" s="3" t="str">
        <f aca="false">IF(COUNTIF(Final_CB_B3_V5!$C$2:$C$496,C60)&gt;=1,"YES","NO")</f>
        <v>NO</v>
      </c>
      <c r="G60" s="4"/>
      <c r="H60" s="4"/>
    </row>
    <row r="61" customFormat="false" ht="15.75" hidden="false" customHeight="false" outlineLevel="0" collapsed="false">
      <c r="B61" s="3" t="str">
        <f aca="false">IF(COUNTIF(Final_CB_B3_V5!$B$2:$B$496,A61)&gt;=1,"YES","NO")</f>
        <v>NO</v>
      </c>
      <c r="D61" s="3" t="str">
        <f aca="false">IF(COUNTIF(Final_CB_B3_V5!$C$2:$C$496,C61)&gt;=1,"YES","NO")</f>
        <v>NO</v>
      </c>
      <c r="G61" s="4"/>
      <c r="H61" s="4"/>
    </row>
    <row r="62" customFormat="false" ht="15.75" hidden="false" customHeight="false" outlineLevel="0" collapsed="false">
      <c r="B62" s="3" t="str">
        <f aca="false">IF(COUNTIF(Final_CB_B3_V5!$B$2:$B$496,A62)&gt;=1,"YES","NO")</f>
        <v>NO</v>
      </c>
      <c r="D62" s="3" t="str">
        <f aca="false">IF(COUNTIF(Final_CB_B3_V5!$C$2:$C$496,C62)&gt;=1,"YES","NO")</f>
        <v>NO</v>
      </c>
      <c r="G62" s="4"/>
      <c r="H62" s="4"/>
    </row>
    <row r="63" customFormat="false" ht="15.75" hidden="false" customHeight="false" outlineLevel="0" collapsed="false">
      <c r="B63" s="3" t="str">
        <f aca="false">IF(COUNTIF(Final_CB_B3_V5!$B$2:$B$496,A63)&gt;=1,"YES","NO")</f>
        <v>NO</v>
      </c>
      <c r="D63" s="3" t="str">
        <f aca="false">IF(COUNTIF(Final_CB_B3_V5!$C$2:$C$496,C63)&gt;=1,"YES","NO")</f>
        <v>NO</v>
      </c>
      <c r="G63" s="4"/>
      <c r="H63" s="4"/>
    </row>
    <row r="64" customFormat="false" ht="15.75" hidden="false" customHeight="false" outlineLevel="0" collapsed="false">
      <c r="B64" s="3" t="str">
        <f aca="false">IF(COUNTIF(Final_CB_B3_V5!$B$2:$B$496,A64)&gt;=1,"YES","NO")</f>
        <v>NO</v>
      </c>
      <c r="D64" s="3" t="str">
        <f aca="false">IF(COUNTIF(Final_CB_B3_V5!$C$2:$C$496,C64)&gt;=1,"YES","NO")</f>
        <v>NO</v>
      </c>
      <c r="G64" s="4"/>
      <c r="H64" s="4"/>
    </row>
    <row r="65" customFormat="false" ht="15.75" hidden="false" customHeight="false" outlineLevel="0" collapsed="false">
      <c r="B65" s="3" t="str">
        <f aca="false">IF(COUNTIF(Final_CB_B3_V5!$B$2:$B$496,A65)&gt;=1,"YES","NO")</f>
        <v>NO</v>
      </c>
      <c r="D65" s="3" t="str">
        <f aca="false">IF(COUNTIF(Final_CB_B3_V5!$C$2:$C$496,C65)&gt;=1,"YES","NO")</f>
        <v>NO</v>
      </c>
      <c r="G65" s="4"/>
      <c r="H65" s="4"/>
    </row>
    <row r="66" customFormat="false" ht="15.75" hidden="false" customHeight="false" outlineLevel="0" collapsed="false">
      <c r="B66" s="3" t="str">
        <f aca="false">IF(COUNTIF(Final_CB_B3_V5!$B$2:$B$496,A66)&gt;=1,"YES","NO")</f>
        <v>NO</v>
      </c>
      <c r="D66" s="3" t="str">
        <f aca="false">IF(COUNTIF(Final_CB_B3_V5!$C$2:$C$496,C66)&gt;=1,"YES","NO")</f>
        <v>NO</v>
      </c>
      <c r="G66" s="4"/>
      <c r="H66" s="4"/>
    </row>
    <row r="67" customFormat="false" ht="15.75" hidden="false" customHeight="false" outlineLevel="0" collapsed="false">
      <c r="B67" s="3" t="str">
        <f aca="false">IF(COUNTIF(Final_CB_B3_V5!$B$2:$B$496,A67)&gt;=1,"YES","NO")</f>
        <v>NO</v>
      </c>
      <c r="D67" s="3" t="str">
        <f aca="false">IF(COUNTIF(Final_CB_B3_V5!$C$2:$C$496,C67)&gt;=1,"YES","NO")</f>
        <v>NO</v>
      </c>
      <c r="G67" s="4"/>
      <c r="H67" s="4"/>
    </row>
    <row r="68" customFormat="false" ht="15.75" hidden="false" customHeight="false" outlineLevel="0" collapsed="false">
      <c r="B68" s="3" t="str">
        <f aca="false">IF(COUNTIF(Final_CB_B3_V5!$B$2:$B$496,A68)&gt;=1,"YES","NO")</f>
        <v>NO</v>
      </c>
      <c r="D68" s="3" t="str">
        <f aca="false">IF(COUNTIF(Final_CB_B3_V5!$C$2:$C$496,C68)&gt;=1,"YES","NO")</f>
        <v>NO</v>
      </c>
      <c r="G68" s="4"/>
      <c r="H68" s="4"/>
    </row>
    <row r="69" customFormat="false" ht="15.75" hidden="false" customHeight="false" outlineLevel="0" collapsed="false">
      <c r="B69" s="3" t="str">
        <f aca="false">IF(COUNTIF(Final_CB_B3_V5!$B$2:$B$496,A69)&gt;=1,"YES","NO")</f>
        <v>NO</v>
      </c>
      <c r="D69" s="3" t="str">
        <f aca="false">IF(COUNTIF(Final_CB_B3_V5!$C$2:$C$496,C69)&gt;=1,"YES","NO")</f>
        <v>NO</v>
      </c>
      <c r="G69" s="4"/>
      <c r="H69" s="4"/>
    </row>
    <row r="70" customFormat="false" ht="15.75" hidden="false" customHeight="false" outlineLevel="0" collapsed="false">
      <c r="B70" s="3" t="str">
        <f aca="false">IF(COUNTIF(Final_CB_B3_V5!$B$2:$B$496,A70)&gt;=1,"YES","NO")</f>
        <v>NO</v>
      </c>
      <c r="D70" s="3" t="str">
        <f aca="false">IF(COUNTIF(Final_CB_B3_V5!$C$2:$C$496,C70)&gt;=1,"YES","NO")</f>
        <v>NO</v>
      </c>
      <c r="G70" s="4"/>
      <c r="H70" s="4"/>
    </row>
    <row r="71" customFormat="false" ht="15.75" hidden="false" customHeight="false" outlineLevel="0" collapsed="false">
      <c r="B71" s="3" t="str">
        <f aca="false">IF(COUNTIF(Final_CB_B3_V5!$B$2:$B$496,A71)&gt;=1,"YES","NO")</f>
        <v>NO</v>
      </c>
      <c r="D71" s="3" t="str">
        <f aca="false">IF(COUNTIF(Final_CB_B3_V5!$C$2:$C$496,C71)&gt;=1,"YES","NO")</f>
        <v>NO</v>
      </c>
      <c r="G71" s="4"/>
      <c r="H71" s="4"/>
    </row>
    <row r="72" customFormat="false" ht="15.75" hidden="false" customHeight="false" outlineLevel="0" collapsed="false">
      <c r="B72" s="3" t="str">
        <f aca="false">IF(COUNTIF(Final_CB_B3_V5!$B$2:$B$496,A72)&gt;=1,"YES","NO")</f>
        <v>NO</v>
      </c>
      <c r="D72" s="3" t="str">
        <f aca="false">IF(COUNTIF(Final_CB_B3_V5!$C$2:$C$496,C72)&gt;=1,"YES","NO")</f>
        <v>NO</v>
      </c>
      <c r="G72" s="4"/>
      <c r="H72" s="4"/>
    </row>
    <row r="73" customFormat="false" ht="15.75" hidden="false" customHeight="false" outlineLevel="0" collapsed="false">
      <c r="B73" s="3" t="str">
        <f aca="false">IF(COUNTIF(Final_CB_B3_V5!$B$2:$B$496,A73)&gt;=1,"YES","NO")</f>
        <v>NO</v>
      </c>
      <c r="D73" s="3" t="str">
        <f aca="false">IF(COUNTIF(Final_CB_B3_V5!$C$2:$C$496,C73)&gt;=1,"YES","NO")</f>
        <v>NO</v>
      </c>
      <c r="G73" s="4"/>
      <c r="H73" s="4"/>
    </row>
    <row r="74" customFormat="false" ht="15.75" hidden="false" customHeight="false" outlineLevel="0" collapsed="false">
      <c r="B74" s="3" t="str">
        <f aca="false">IF(COUNTIF(Final_CB_B3_V5!$B$2:$B$496,A74)&gt;=1,"YES","NO")</f>
        <v>NO</v>
      </c>
      <c r="D74" s="3" t="str">
        <f aca="false">IF(COUNTIF(Final_CB_B3_V5!$C$2:$C$496,C74)&gt;=1,"YES","NO")</f>
        <v>NO</v>
      </c>
      <c r="G74" s="4"/>
      <c r="H74" s="4"/>
    </row>
    <row r="75" customFormat="false" ht="15.75" hidden="false" customHeight="false" outlineLevel="0" collapsed="false">
      <c r="B75" s="3" t="str">
        <f aca="false">IF(COUNTIF(Final_CB_B3_V5!$B$2:$B$496,A75)&gt;=1,"YES","NO")</f>
        <v>NO</v>
      </c>
      <c r="D75" s="3" t="str">
        <f aca="false">IF(COUNTIF(Final_CB_B3_V5!$C$2:$C$496,C75)&gt;=1,"YES","NO")</f>
        <v>NO</v>
      </c>
      <c r="G75" s="4"/>
      <c r="H75" s="4"/>
    </row>
    <row r="76" customFormat="false" ht="15.75" hidden="false" customHeight="false" outlineLevel="0" collapsed="false">
      <c r="B76" s="3" t="str">
        <f aca="false">IF(COUNTIF(Final_CB_B3_V5!$B$2:$B$496,A76)&gt;=1,"YES","NO")</f>
        <v>NO</v>
      </c>
      <c r="D76" s="3" t="str">
        <f aca="false">IF(COUNTIF(Final_CB_B3_V5!$C$2:$C$496,C76)&gt;=1,"YES","NO")</f>
        <v>NO</v>
      </c>
      <c r="G76" s="4"/>
      <c r="H76" s="4"/>
    </row>
    <row r="77" customFormat="false" ht="15.75" hidden="false" customHeight="false" outlineLevel="0" collapsed="false">
      <c r="B77" s="3" t="str">
        <f aca="false">IF(COUNTIF(Final_CB_B3_V5!$B$2:$B$496,A77)&gt;=1,"YES","NO")</f>
        <v>NO</v>
      </c>
      <c r="D77" s="3" t="str">
        <f aca="false">IF(COUNTIF(Final_CB_B3_V5!$C$2:$C$496,C77)&gt;=1,"YES","NO")</f>
        <v>NO</v>
      </c>
      <c r="G77" s="4"/>
      <c r="H77" s="4"/>
    </row>
    <row r="78" customFormat="false" ht="15.75" hidden="false" customHeight="false" outlineLevel="0" collapsed="false">
      <c r="B78" s="3" t="str">
        <f aca="false">IF(COUNTIF(Final_CB_B3_V5!$B$2:$B$496,A78)&gt;=1,"YES","NO")</f>
        <v>NO</v>
      </c>
      <c r="D78" s="3" t="str">
        <f aca="false">IF(COUNTIF(Final_CB_B3_V5!$C$2:$C$496,C78)&gt;=1,"YES","NO")</f>
        <v>NO</v>
      </c>
      <c r="G78" s="4"/>
      <c r="H78" s="4"/>
    </row>
    <row r="79" customFormat="false" ht="15.75" hidden="false" customHeight="false" outlineLevel="0" collapsed="false">
      <c r="B79" s="3" t="str">
        <f aca="false">IF(COUNTIF(Final_CB_B3_V5!$B$2:$B$496,A79)&gt;=1,"YES","NO")</f>
        <v>NO</v>
      </c>
      <c r="D79" s="3" t="str">
        <f aca="false">IF(COUNTIF(Final_CB_B3_V5!$C$2:$C$496,C79)&gt;=1,"YES","NO")</f>
        <v>NO</v>
      </c>
      <c r="G79" s="4"/>
      <c r="H79" s="4"/>
    </row>
    <row r="80" customFormat="false" ht="15.75" hidden="false" customHeight="false" outlineLevel="0" collapsed="false">
      <c r="B80" s="3" t="str">
        <f aca="false">IF(COUNTIF(Final_CB_B3_V5!$B$2:$B$496,A80)&gt;=1,"YES","NO")</f>
        <v>NO</v>
      </c>
      <c r="D80" s="3" t="str">
        <f aca="false">IF(COUNTIF(Final_CB_B3_V5!$C$2:$C$496,C80)&gt;=1,"YES","NO")</f>
        <v>NO</v>
      </c>
      <c r="G80" s="4"/>
      <c r="H80" s="4"/>
    </row>
    <row r="81" customFormat="false" ht="15.75" hidden="false" customHeight="false" outlineLevel="0" collapsed="false">
      <c r="B81" s="3" t="str">
        <f aca="false">IF(COUNTIF(Final_CB_B3_V5!$B$2:$B$496,A81)&gt;=1,"YES","NO")</f>
        <v>NO</v>
      </c>
      <c r="D81" s="3" t="str">
        <f aca="false">IF(COUNTIF(Final_CB_B3_V5!$C$2:$C$496,C81)&gt;=1,"YES","NO")</f>
        <v>NO</v>
      </c>
      <c r="G81" s="4"/>
      <c r="H81" s="4"/>
    </row>
    <row r="82" customFormat="false" ht="15.75" hidden="false" customHeight="false" outlineLevel="0" collapsed="false">
      <c r="B82" s="3" t="str">
        <f aca="false">IF(COUNTIF(Final_CB_B3_V5!$B$2:$B$496,A82)&gt;=1,"YES","NO")</f>
        <v>NO</v>
      </c>
      <c r="D82" s="3" t="str">
        <f aca="false">IF(COUNTIF(Final_CB_B3_V5!$C$2:$C$496,C82)&gt;=1,"YES","NO")</f>
        <v>NO</v>
      </c>
      <c r="G82" s="4"/>
      <c r="H82" s="4"/>
    </row>
    <row r="83" customFormat="false" ht="15.75" hidden="false" customHeight="false" outlineLevel="0" collapsed="false">
      <c r="B83" s="3" t="str">
        <f aca="false">IF(COUNTIF(Final_CB_B3_V5!$B$2:$B$496,A83)&gt;=1,"YES","NO")</f>
        <v>NO</v>
      </c>
      <c r="D83" s="3" t="str">
        <f aca="false">IF(COUNTIF(Final_CB_B3_V5!$C$2:$C$496,C83)&gt;=1,"YES","NO")</f>
        <v>NO</v>
      </c>
      <c r="G83" s="4"/>
      <c r="H83" s="4"/>
    </row>
    <row r="84" customFormat="false" ht="15.75" hidden="false" customHeight="false" outlineLevel="0" collapsed="false">
      <c r="B84" s="3" t="str">
        <f aca="false">IF(COUNTIF(Final_CB_B3_V5!$B$2:$B$496,A84)&gt;=1,"YES","NO")</f>
        <v>NO</v>
      </c>
      <c r="D84" s="3" t="str">
        <f aca="false">IF(COUNTIF(Final_CB_B3_V5!$C$2:$C$496,C84)&gt;=1,"YES","NO")</f>
        <v>NO</v>
      </c>
      <c r="G84" s="4"/>
      <c r="H84" s="4"/>
    </row>
    <row r="85" customFormat="false" ht="15.75" hidden="false" customHeight="false" outlineLevel="0" collapsed="false">
      <c r="B85" s="3" t="str">
        <f aca="false">IF(COUNTIF(Final_CB_B3_V5!$B$2:$B$496,A85)&gt;=1,"YES","NO")</f>
        <v>NO</v>
      </c>
      <c r="D85" s="3" t="str">
        <f aca="false">IF(COUNTIF(Final_CB_B3_V5!$C$2:$C$496,C85)&gt;=1,"YES","NO")</f>
        <v>NO</v>
      </c>
      <c r="G85" s="4"/>
      <c r="H85" s="4"/>
    </row>
    <row r="86" customFormat="false" ht="15.75" hidden="false" customHeight="false" outlineLevel="0" collapsed="false">
      <c r="B86" s="3" t="str">
        <f aca="false">IF(COUNTIF(Final_CB_B3_V5!$B$2:$B$496,A86)&gt;=1,"YES","NO")</f>
        <v>NO</v>
      </c>
      <c r="D86" s="3" t="str">
        <f aca="false">IF(COUNTIF(Final_CB_B3_V5!$C$2:$C$496,C86)&gt;=1,"YES","NO")</f>
        <v>NO</v>
      </c>
      <c r="G86" s="4"/>
      <c r="H86" s="4"/>
    </row>
    <row r="87" customFormat="false" ht="15.75" hidden="false" customHeight="false" outlineLevel="0" collapsed="false">
      <c r="B87" s="3" t="str">
        <f aca="false">IF(COUNTIF(Final_CB_B3_V5!$B$2:$B$496,A87)&gt;=1,"YES","NO")</f>
        <v>NO</v>
      </c>
      <c r="D87" s="3" t="str">
        <f aca="false">IF(COUNTIF(Final_CB_B3_V5!$C$2:$C$496,C87)&gt;=1,"YES","NO")</f>
        <v>NO</v>
      </c>
      <c r="G87" s="4"/>
      <c r="H87" s="4"/>
    </row>
    <row r="88" customFormat="false" ht="15.75" hidden="false" customHeight="false" outlineLevel="0" collapsed="false">
      <c r="B88" s="3" t="str">
        <f aca="false">IF(COUNTIF(Final_CB_B3_V5!$B$2:$B$496,A88)&gt;=1,"YES","NO")</f>
        <v>NO</v>
      </c>
      <c r="D88" s="3" t="str">
        <f aca="false">IF(COUNTIF(Final_CB_B3_V5!$C$2:$C$496,C88)&gt;=1,"YES","NO")</f>
        <v>NO</v>
      </c>
      <c r="G88" s="4"/>
      <c r="H88" s="4"/>
    </row>
    <row r="89" customFormat="false" ht="15.75" hidden="false" customHeight="false" outlineLevel="0" collapsed="false">
      <c r="B89" s="3" t="str">
        <f aca="false">IF(COUNTIF(Final_CB_B3_V5!$B$2:$B$496,A89)&gt;=1,"YES","NO")</f>
        <v>NO</v>
      </c>
      <c r="D89" s="3" t="str">
        <f aca="false">IF(COUNTIF(Final_CB_B3_V5!$C$2:$C$496,C89)&gt;=1,"YES","NO")</f>
        <v>NO</v>
      </c>
      <c r="G89" s="4"/>
      <c r="H89" s="4"/>
    </row>
    <row r="90" customFormat="false" ht="15.75" hidden="false" customHeight="false" outlineLevel="0" collapsed="false">
      <c r="B90" s="3" t="str">
        <f aca="false">IF(COUNTIF(Final_CB_B3_V5!$B$2:$B$496,A90)&gt;=1,"YES","NO")</f>
        <v>NO</v>
      </c>
      <c r="D90" s="3" t="str">
        <f aca="false">IF(COUNTIF(Final_CB_B3_V5!$C$2:$C$496,C90)&gt;=1,"YES","NO")</f>
        <v>NO</v>
      </c>
      <c r="G90" s="4"/>
      <c r="H90" s="4"/>
    </row>
    <row r="91" customFormat="false" ht="15.75" hidden="false" customHeight="false" outlineLevel="0" collapsed="false">
      <c r="B91" s="3" t="str">
        <f aca="false">IF(COUNTIF(Final_CB_B3_V5!$B$2:$B$496,A91)&gt;=1,"YES","NO")</f>
        <v>NO</v>
      </c>
      <c r="D91" s="3" t="str">
        <f aca="false">IF(COUNTIF(Final_CB_B3_V5!$C$2:$C$496,C91)&gt;=1,"YES","NO")</f>
        <v>NO</v>
      </c>
      <c r="G91" s="4"/>
      <c r="H91" s="4"/>
    </row>
    <row r="92" customFormat="false" ht="15.75" hidden="false" customHeight="false" outlineLevel="0" collapsed="false">
      <c r="B92" s="3" t="str">
        <f aca="false">IF(COUNTIF(Final_CB_B3_V5!$B$2:$B$496,A92)&gt;=1,"YES","NO")</f>
        <v>NO</v>
      </c>
      <c r="D92" s="3" t="str">
        <f aca="false">IF(COUNTIF(Final_CB_B3_V5!$C$2:$C$496,C92)&gt;=1,"YES","NO")</f>
        <v>NO</v>
      </c>
      <c r="G92" s="4"/>
      <c r="H92" s="4"/>
    </row>
    <row r="93" customFormat="false" ht="15.75" hidden="false" customHeight="false" outlineLevel="0" collapsed="false">
      <c r="B93" s="3" t="str">
        <f aca="false">IF(COUNTIF(Final_CB_B3_V5!$B$2:$B$496,A93)&gt;=1,"YES","NO")</f>
        <v>NO</v>
      </c>
      <c r="D93" s="3" t="str">
        <f aca="false">IF(COUNTIF(Final_CB_B3_V5!$C$2:$C$496,C93)&gt;=1,"YES","NO")</f>
        <v>NO</v>
      </c>
      <c r="G93" s="4"/>
      <c r="H93" s="4"/>
    </row>
    <row r="94" customFormat="false" ht="15.75" hidden="false" customHeight="false" outlineLevel="0" collapsed="false">
      <c r="B94" s="3" t="str">
        <f aca="false">IF(COUNTIF(Final_CB_B3_V5!$B$2:$B$496,A94)&gt;=1,"YES","NO")</f>
        <v>NO</v>
      </c>
      <c r="D94" s="3" t="str">
        <f aca="false">IF(COUNTIF(Final_CB_B3_V5!$C$2:$C$496,C94)&gt;=1,"YES","NO")</f>
        <v>NO</v>
      </c>
      <c r="G94" s="4"/>
      <c r="H94" s="4"/>
    </row>
    <row r="95" customFormat="false" ht="15.75" hidden="false" customHeight="false" outlineLevel="0" collapsed="false">
      <c r="B95" s="3" t="str">
        <f aca="false">IF(COUNTIF(Final_CB_B3_V5!$B$2:$B$496,A95)&gt;=1,"YES","NO")</f>
        <v>NO</v>
      </c>
      <c r="D95" s="3" t="str">
        <f aca="false">IF(COUNTIF(Final_CB_B3_V5!$C$2:$C$496,C95)&gt;=1,"YES","NO")</f>
        <v>NO</v>
      </c>
      <c r="G95" s="4"/>
      <c r="H95" s="4"/>
    </row>
    <row r="96" customFormat="false" ht="15.75" hidden="false" customHeight="false" outlineLevel="0" collapsed="false">
      <c r="B96" s="3" t="str">
        <f aca="false">IF(COUNTIF(Final_CB_B3_V5!$B$2:$B$496,A96)&gt;=1,"YES","NO")</f>
        <v>NO</v>
      </c>
      <c r="D96" s="3" t="str">
        <f aca="false">IF(COUNTIF(Final_CB_B3_V5!$C$2:$C$496,C96)&gt;=1,"YES","NO")</f>
        <v>NO</v>
      </c>
      <c r="G96" s="4"/>
      <c r="H96" s="4"/>
    </row>
    <row r="97" customFormat="false" ht="15.75" hidden="false" customHeight="false" outlineLevel="0" collapsed="false">
      <c r="B97" s="3" t="str">
        <f aca="false">IF(COUNTIF(Final_CB_B3_V5!$B$2:$B$496,A97)&gt;=1,"YES","NO")</f>
        <v>NO</v>
      </c>
      <c r="D97" s="3" t="str">
        <f aca="false">IF(COUNTIF(Final_CB_B3_V5!$C$2:$C$496,C97)&gt;=1,"YES","NO")</f>
        <v>NO</v>
      </c>
      <c r="G97" s="4"/>
      <c r="H97" s="4"/>
    </row>
    <row r="98" customFormat="false" ht="15.75" hidden="false" customHeight="false" outlineLevel="0" collapsed="false">
      <c r="B98" s="3" t="str">
        <f aca="false">IF(COUNTIF(Final_CB_B3_V5!$B$2:$B$496,A98)&gt;=1,"YES","NO")</f>
        <v>NO</v>
      </c>
      <c r="D98" s="3" t="str">
        <f aca="false">IF(COUNTIF(Final_CB_B3_V5!$C$2:$C$496,C98)&gt;=1,"YES","NO")</f>
        <v>NO</v>
      </c>
      <c r="G98" s="4"/>
      <c r="H98" s="4"/>
    </row>
    <row r="99" customFormat="false" ht="15.75" hidden="false" customHeight="false" outlineLevel="0" collapsed="false">
      <c r="B99" s="3" t="str">
        <f aca="false">IF(COUNTIF(Final_CB_B3_V5!$B$2:$B$496,A99)&gt;=1,"YES","NO")</f>
        <v>NO</v>
      </c>
      <c r="D99" s="3" t="str">
        <f aca="false">IF(COUNTIF(Final_CB_B3_V5!$C$2:$C$496,C99)&gt;=1,"YES","NO")</f>
        <v>NO</v>
      </c>
      <c r="G99" s="4"/>
      <c r="H99" s="4"/>
    </row>
    <row r="100" customFormat="false" ht="15.75" hidden="false" customHeight="false" outlineLevel="0" collapsed="false">
      <c r="B100" s="3" t="str">
        <f aca="false">IF(COUNTIF(Final_CB_B3_V5!$B$2:$B$496,A100)&gt;=1,"YES","NO")</f>
        <v>NO</v>
      </c>
      <c r="D100" s="3" t="str">
        <f aca="false">IF(COUNTIF(Final_CB_B3_V5!$C$2:$C$496,C100)&gt;=1,"YES","NO")</f>
        <v>NO</v>
      </c>
      <c r="G100" s="4"/>
      <c r="H100" s="4"/>
    </row>
    <row r="101" customFormat="false" ht="15.75" hidden="false" customHeight="false" outlineLevel="0" collapsed="false">
      <c r="B101" s="3" t="str">
        <f aca="false">IF(COUNTIF(Final_CB_B3_V5!$B$2:$B$496,A101)&gt;=1,"YES","NO")</f>
        <v>NO</v>
      </c>
      <c r="D101" s="3" t="str">
        <f aca="false">IF(COUNTIF(Final_CB_B3_V5!$C$2:$C$496,C101)&gt;=1,"YES","NO")</f>
        <v>NO</v>
      </c>
      <c r="G101" s="4"/>
      <c r="H101" s="4"/>
    </row>
    <row r="102" customFormat="false" ht="15.75" hidden="false" customHeight="false" outlineLevel="0" collapsed="false">
      <c r="B102" s="3" t="str">
        <f aca="false">IF(COUNTIF(Final_CB_B3_V5!$B$2:$B$496,A102)&gt;=1,"YES","NO")</f>
        <v>NO</v>
      </c>
      <c r="D102" s="3" t="str">
        <f aca="false">IF(COUNTIF(Final_CB_B3_V5!$C$2:$C$496,C102)&gt;=1,"YES","NO")</f>
        <v>NO</v>
      </c>
      <c r="G102" s="4"/>
      <c r="H102" s="4"/>
    </row>
    <row r="103" customFormat="false" ht="15.75" hidden="false" customHeight="false" outlineLevel="0" collapsed="false">
      <c r="B103" s="3" t="str">
        <f aca="false">IF(COUNTIF(Final_CB_B3_V5!$B$2:$B$496,A103)&gt;=1,"YES","NO")</f>
        <v>NO</v>
      </c>
      <c r="D103" s="3" t="str">
        <f aca="false">IF(COUNTIF(Final_CB_B3_V5!$C$2:$C$496,C103)&gt;=1,"YES","NO")</f>
        <v>NO</v>
      </c>
      <c r="G103" s="4"/>
      <c r="H103" s="4"/>
    </row>
    <row r="104" customFormat="false" ht="15.75" hidden="false" customHeight="false" outlineLevel="0" collapsed="false">
      <c r="B104" s="3" t="str">
        <f aca="false">IF(COUNTIF(Final_CB_B3_V5!$B$2:$B$496,A104)&gt;=1,"YES","NO")</f>
        <v>NO</v>
      </c>
      <c r="D104" s="3" t="str">
        <f aca="false">IF(COUNTIF(Final_CB_B3_V5!$C$2:$C$496,C104)&gt;=1,"YES","NO")</f>
        <v>NO</v>
      </c>
      <c r="G104" s="4"/>
      <c r="H104" s="4"/>
    </row>
    <row r="105" customFormat="false" ht="15.75" hidden="false" customHeight="false" outlineLevel="0" collapsed="false">
      <c r="B105" s="3" t="str">
        <f aca="false">IF(COUNTIF(Final_CB_B3_V5!$B$2:$B$496,A105)&gt;=1,"YES","NO")</f>
        <v>NO</v>
      </c>
      <c r="D105" s="3" t="str">
        <f aca="false">IF(COUNTIF(Final_CB_B3_V5!$C$2:$C$496,C105)&gt;=1,"YES","NO")</f>
        <v>NO</v>
      </c>
      <c r="G105" s="4"/>
      <c r="H105" s="4"/>
    </row>
    <row r="106" customFormat="false" ht="15.75" hidden="false" customHeight="false" outlineLevel="0" collapsed="false">
      <c r="B106" s="3" t="str">
        <f aca="false">IF(COUNTIF(Final_CB_B3_V5!$B$2:$B$496,A106)&gt;=1,"YES","NO")</f>
        <v>NO</v>
      </c>
      <c r="D106" s="3" t="str">
        <f aca="false">IF(COUNTIF(Final_CB_B3_V5!$C$2:$C$496,C106)&gt;=1,"YES","NO")</f>
        <v>NO</v>
      </c>
      <c r="G106" s="4"/>
      <c r="H106" s="4"/>
    </row>
    <row r="107" customFormat="false" ht="15.75" hidden="false" customHeight="false" outlineLevel="0" collapsed="false">
      <c r="B107" s="3" t="str">
        <f aca="false">IF(COUNTIF(Final_CB_B3_V5!$B$2:$B$496,A107)&gt;=1,"YES","NO")</f>
        <v>NO</v>
      </c>
      <c r="D107" s="3" t="str">
        <f aca="false">IF(COUNTIF(Final_CB_B3_V5!$C$2:$C$496,C107)&gt;=1,"YES","NO")</f>
        <v>NO</v>
      </c>
      <c r="G107" s="4"/>
      <c r="H107" s="4"/>
    </row>
    <row r="108" customFormat="false" ht="15.75" hidden="false" customHeight="false" outlineLevel="0" collapsed="false">
      <c r="B108" s="3" t="str">
        <f aca="false">IF(COUNTIF(Final_CB_B3_V5!$B$2:$B$496,A108)&gt;=1,"YES","NO")</f>
        <v>NO</v>
      </c>
      <c r="D108" s="3" t="str">
        <f aca="false">IF(COUNTIF(Final_CB_B3_V5!$C$2:$C$496,C108)&gt;=1,"YES","NO")</f>
        <v>NO</v>
      </c>
      <c r="G108" s="4"/>
      <c r="H108" s="4"/>
    </row>
    <row r="109" customFormat="false" ht="15.75" hidden="false" customHeight="false" outlineLevel="0" collapsed="false">
      <c r="B109" s="3" t="str">
        <f aca="false">IF(COUNTIF(Final_CB_B3_V5!$B$2:$B$496,A109)&gt;=1,"YES","NO")</f>
        <v>NO</v>
      </c>
      <c r="D109" s="3" t="str">
        <f aca="false">IF(COUNTIF(Final_CB_B3_V5!$C$2:$C$496,C109)&gt;=1,"YES","NO")</f>
        <v>NO</v>
      </c>
      <c r="G109" s="4"/>
      <c r="H109" s="4"/>
    </row>
    <row r="110" customFormat="false" ht="15.75" hidden="false" customHeight="false" outlineLevel="0" collapsed="false">
      <c r="B110" s="3" t="str">
        <f aca="false">IF(COUNTIF(Final_CB_B3_V5!$B$2:$B$496,A110)&gt;=1,"YES","NO")</f>
        <v>NO</v>
      </c>
      <c r="D110" s="3" t="str">
        <f aca="false">IF(COUNTIF(Final_CB_B3_V5!$C$2:$C$496,C110)&gt;=1,"YES","NO")</f>
        <v>NO</v>
      </c>
      <c r="G110" s="4"/>
      <c r="H110" s="4"/>
    </row>
    <row r="111" customFormat="false" ht="15.75" hidden="false" customHeight="false" outlineLevel="0" collapsed="false">
      <c r="B111" s="3" t="str">
        <f aca="false">IF(COUNTIF(Final_CB_B3_V5!$B$2:$B$496,A111)&gt;=1,"YES","NO")</f>
        <v>NO</v>
      </c>
      <c r="D111" s="3" t="str">
        <f aca="false">IF(COUNTIF(Final_CB_B3_V5!$C$2:$C$496,C111)&gt;=1,"YES","NO")</f>
        <v>NO</v>
      </c>
      <c r="G111" s="4"/>
      <c r="H111" s="4"/>
    </row>
    <row r="112" customFormat="false" ht="15.75" hidden="false" customHeight="false" outlineLevel="0" collapsed="false">
      <c r="B112" s="3" t="str">
        <f aca="false">IF(COUNTIF(Final_CB_B3_V5!$B$2:$B$496,A112)&gt;=1,"YES","NO")</f>
        <v>NO</v>
      </c>
      <c r="D112" s="3" t="str">
        <f aca="false">IF(COUNTIF(Final_CB_B3_V5!$C$2:$C$496,C112)&gt;=1,"YES","NO")</f>
        <v>NO</v>
      </c>
      <c r="G112" s="4"/>
      <c r="H112" s="4"/>
    </row>
    <row r="113" customFormat="false" ht="15.75" hidden="false" customHeight="false" outlineLevel="0" collapsed="false">
      <c r="B113" s="3" t="str">
        <f aca="false">IF(COUNTIF(Final_CB_B3_V5!$B$2:$B$496,A113)&gt;=1,"YES","NO")</f>
        <v>NO</v>
      </c>
      <c r="D113" s="3" t="str">
        <f aca="false">IF(COUNTIF(Final_CB_B3_V5!$C$2:$C$496,C113)&gt;=1,"YES","NO")</f>
        <v>NO</v>
      </c>
      <c r="G113" s="4"/>
      <c r="H113" s="4"/>
    </row>
    <row r="114" customFormat="false" ht="15.75" hidden="false" customHeight="false" outlineLevel="0" collapsed="false">
      <c r="B114" s="3" t="str">
        <f aca="false">IF(COUNTIF(Final_CB_B3_V5!$B$2:$B$496,A114)&gt;=1,"YES","NO")</f>
        <v>NO</v>
      </c>
      <c r="D114" s="3" t="str">
        <f aca="false">IF(COUNTIF(Final_CB_B3_V5!$C$2:$C$496,C114)&gt;=1,"YES","NO")</f>
        <v>NO</v>
      </c>
      <c r="G114" s="4"/>
      <c r="H114" s="4"/>
    </row>
    <row r="115" customFormat="false" ht="15.75" hidden="false" customHeight="false" outlineLevel="0" collapsed="false">
      <c r="B115" s="3" t="str">
        <f aca="false">IF(COUNTIF(Final_CB_B3_V5!$B$2:$B$496,A115)&gt;=1,"YES","NO")</f>
        <v>NO</v>
      </c>
      <c r="D115" s="3" t="str">
        <f aca="false">IF(COUNTIF(Final_CB_B3_V5!$C$2:$C$496,C115)&gt;=1,"YES","NO")</f>
        <v>NO</v>
      </c>
      <c r="G115" s="4"/>
      <c r="H115" s="4"/>
    </row>
    <row r="116" customFormat="false" ht="15.75" hidden="false" customHeight="false" outlineLevel="0" collapsed="false">
      <c r="B116" s="3" t="str">
        <f aca="false">IF(COUNTIF(Final_CB_B3_V5!$B$2:$B$496,A116)&gt;=1,"YES","NO")</f>
        <v>NO</v>
      </c>
      <c r="D116" s="3" t="str">
        <f aca="false">IF(COUNTIF(Final_CB_B3_V5!$C$2:$C$496,C116)&gt;=1,"YES","NO")</f>
        <v>NO</v>
      </c>
      <c r="G116" s="4"/>
      <c r="H116" s="4"/>
    </row>
    <row r="117" customFormat="false" ht="15.75" hidden="false" customHeight="false" outlineLevel="0" collapsed="false">
      <c r="B117" s="3" t="str">
        <f aca="false">IF(COUNTIF(Final_CB_B3_V5!$B$2:$B$496,A117)&gt;=1,"YES","NO")</f>
        <v>NO</v>
      </c>
      <c r="D117" s="3" t="str">
        <f aca="false">IF(COUNTIF(Final_CB_B3_V5!$C$2:$C$496,C117)&gt;=1,"YES","NO")</f>
        <v>NO</v>
      </c>
      <c r="G117" s="4"/>
      <c r="H117" s="4"/>
    </row>
    <row r="118" customFormat="false" ht="15.75" hidden="false" customHeight="false" outlineLevel="0" collapsed="false">
      <c r="B118" s="3" t="str">
        <f aca="false">IF(COUNTIF(Final_CB_B3_V5!$B$2:$B$496,A118)&gt;=1,"YES","NO")</f>
        <v>NO</v>
      </c>
      <c r="D118" s="3" t="str">
        <f aca="false">IF(COUNTIF(Final_CB_B3_V5!$C$2:$C$496,C118)&gt;=1,"YES","NO")</f>
        <v>NO</v>
      </c>
      <c r="G118" s="4"/>
      <c r="H118" s="4"/>
    </row>
    <row r="119" customFormat="false" ht="15.75" hidden="false" customHeight="false" outlineLevel="0" collapsed="false">
      <c r="B119" s="3" t="str">
        <f aca="false">IF(COUNTIF(Final_CB_B3_V5!$B$2:$B$496,A119)&gt;=1,"YES","NO")</f>
        <v>NO</v>
      </c>
      <c r="D119" s="3" t="str">
        <f aca="false">IF(COUNTIF(Final_CB_B3_V5!$C$2:$C$496,C119)&gt;=1,"YES","NO")</f>
        <v>NO</v>
      </c>
      <c r="G119" s="4"/>
      <c r="H119" s="4"/>
    </row>
    <row r="120" customFormat="false" ht="15.75" hidden="false" customHeight="false" outlineLevel="0" collapsed="false">
      <c r="B120" s="3" t="str">
        <f aca="false">IF(COUNTIF(Final_CB_B3_V5!$B$2:$B$496,A120)&gt;=1,"YES","NO")</f>
        <v>NO</v>
      </c>
      <c r="D120" s="3" t="str">
        <f aca="false">IF(COUNTIF(Final_CB_B3_V5!$C$2:$C$496,C120)&gt;=1,"YES","NO")</f>
        <v>NO</v>
      </c>
      <c r="G120" s="4"/>
      <c r="H120" s="4"/>
    </row>
    <row r="121" customFormat="false" ht="15.75" hidden="false" customHeight="false" outlineLevel="0" collapsed="false">
      <c r="B121" s="3" t="str">
        <f aca="false">IF(COUNTIF(Final_CB_B3_V5!$B$2:$B$496,A121)&gt;=1,"YES","NO")</f>
        <v>NO</v>
      </c>
      <c r="D121" s="3" t="str">
        <f aca="false">IF(COUNTIF(Final_CB_B3_V5!$C$2:$C$496,C121)&gt;=1,"YES","NO")</f>
        <v>NO</v>
      </c>
      <c r="G121" s="4"/>
      <c r="H121" s="4"/>
    </row>
    <row r="122" customFormat="false" ht="15.75" hidden="false" customHeight="false" outlineLevel="0" collapsed="false">
      <c r="B122" s="3" t="str">
        <f aca="false">IF(COUNTIF(Final_CB_B3_V5!$B$2:$B$496,A122)&gt;=1,"YES","NO")</f>
        <v>NO</v>
      </c>
      <c r="D122" s="3" t="str">
        <f aca="false">IF(COUNTIF(Final_CB_B3_V5!$C$2:$C$496,C122)&gt;=1,"YES","NO")</f>
        <v>NO</v>
      </c>
      <c r="G122" s="4"/>
      <c r="H122" s="4"/>
    </row>
    <row r="123" customFormat="false" ht="15.75" hidden="false" customHeight="false" outlineLevel="0" collapsed="false">
      <c r="B123" s="3" t="str">
        <f aca="false">IF(COUNTIF(Final_CB_B3_V5!$B$2:$B$496,A123)&gt;=1,"YES","NO")</f>
        <v>NO</v>
      </c>
      <c r="D123" s="3" t="str">
        <f aca="false">IF(COUNTIF(Final_CB_B3_V5!$C$2:$C$496,C123)&gt;=1,"YES","NO")</f>
        <v>NO</v>
      </c>
      <c r="G123" s="4"/>
      <c r="H123" s="4"/>
    </row>
    <row r="124" customFormat="false" ht="15.75" hidden="false" customHeight="false" outlineLevel="0" collapsed="false">
      <c r="B124" s="3" t="str">
        <f aca="false">IF(COUNTIF(Final_CB_B3_V5!$B$2:$B$496,A124)&gt;=1,"YES","NO")</f>
        <v>NO</v>
      </c>
      <c r="D124" s="3" t="str">
        <f aca="false">IF(COUNTIF(Final_CB_B3_V5!$C$2:$C$496,C124)&gt;=1,"YES","NO")</f>
        <v>NO</v>
      </c>
      <c r="G124" s="4"/>
      <c r="H124" s="4"/>
    </row>
    <row r="125" customFormat="false" ht="15.75" hidden="false" customHeight="false" outlineLevel="0" collapsed="false">
      <c r="B125" s="3" t="str">
        <f aca="false">IF(COUNTIF(Final_CB_B3_V5!$B$2:$B$496,A125)&gt;=1,"YES","NO")</f>
        <v>NO</v>
      </c>
      <c r="D125" s="3" t="str">
        <f aca="false">IF(COUNTIF(Final_CB_B3_V5!$C$2:$C$496,C125)&gt;=1,"YES","NO")</f>
        <v>NO</v>
      </c>
      <c r="G125" s="4"/>
      <c r="H125" s="4"/>
    </row>
    <row r="126" customFormat="false" ht="15.75" hidden="false" customHeight="false" outlineLevel="0" collapsed="false">
      <c r="B126" s="3" t="str">
        <f aca="false">IF(COUNTIF(Final_CB_B3_V5!$B$2:$B$496,A126)&gt;=1,"YES","NO")</f>
        <v>NO</v>
      </c>
      <c r="D126" s="3" t="str">
        <f aca="false">IF(COUNTIF(Final_CB_B3_V5!$C$2:$C$496,C126)&gt;=1,"YES","NO")</f>
        <v>NO</v>
      </c>
      <c r="G126" s="4"/>
      <c r="H126" s="4"/>
    </row>
    <row r="127" customFormat="false" ht="15.75" hidden="false" customHeight="false" outlineLevel="0" collapsed="false">
      <c r="B127" s="3" t="str">
        <f aca="false">IF(COUNTIF(Final_CB_B3_V5!$B$2:$B$496,A127)&gt;=1,"YES","NO")</f>
        <v>NO</v>
      </c>
      <c r="D127" s="3" t="str">
        <f aca="false">IF(COUNTIF(Final_CB_B3_V5!$C$2:$C$496,C127)&gt;=1,"YES","NO")</f>
        <v>NO</v>
      </c>
      <c r="G127" s="4"/>
      <c r="H127" s="4"/>
    </row>
    <row r="128" customFormat="false" ht="15.75" hidden="false" customHeight="false" outlineLevel="0" collapsed="false">
      <c r="B128" s="3" t="str">
        <f aca="false">IF(COUNTIF(Final_CB_B3_V5!$B$2:$B$496,A128)&gt;=1,"YES","NO")</f>
        <v>NO</v>
      </c>
      <c r="D128" s="3" t="str">
        <f aca="false">IF(COUNTIF(Final_CB_B3_V5!$C$2:$C$496,C128)&gt;=1,"YES","NO")</f>
        <v>NO</v>
      </c>
      <c r="G128" s="4"/>
      <c r="H128" s="4"/>
    </row>
    <row r="129" customFormat="false" ht="15.75" hidden="false" customHeight="false" outlineLevel="0" collapsed="false">
      <c r="B129" s="3" t="str">
        <f aca="false">IF(COUNTIF(Final_CB_B3_V5!$B$2:$B$496,A129)&gt;=1,"YES","NO")</f>
        <v>NO</v>
      </c>
      <c r="D129" s="3" t="str">
        <f aca="false">IF(COUNTIF(Final_CB_B3_V5!$C$2:$C$496,C129)&gt;=1,"YES","NO")</f>
        <v>NO</v>
      </c>
      <c r="G129" s="4"/>
      <c r="H129" s="4"/>
    </row>
    <row r="130" customFormat="false" ht="15.75" hidden="false" customHeight="false" outlineLevel="0" collapsed="false">
      <c r="B130" s="3" t="str">
        <f aca="false">IF(COUNTIF(Final_CB_B3_V5!$B$2:$B$496,A130)&gt;=1,"YES","NO")</f>
        <v>NO</v>
      </c>
      <c r="D130" s="3" t="str">
        <f aca="false">IF(COUNTIF(Final_CB_B3_V5!$C$2:$C$496,C130)&gt;=1,"YES","NO")</f>
        <v>NO</v>
      </c>
      <c r="G130" s="4"/>
      <c r="H130" s="4"/>
    </row>
    <row r="131" customFormat="false" ht="15.75" hidden="false" customHeight="false" outlineLevel="0" collapsed="false">
      <c r="B131" s="3" t="str">
        <f aca="false">IF(COUNTIF(Final_CB_B3_V5!$B$2:$B$496,A131)&gt;=1,"YES","NO")</f>
        <v>NO</v>
      </c>
      <c r="D131" s="3" t="str">
        <f aca="false">IF(COUNTIF(Final_CB_B3_V5!$C$2:$C$496,C131)&gt;=1,"YES","NO")</f>
        <v>NO</v>
      </c>
      <c r="G131" s="4"/>
      <c r="H131" s="4"/>
    </row>
    <row r="132" customFormat="false" ht="15.75" hidden="false" customHeight="false" outlineLevel="0" collapsed="false">
      <c r="B132" s="3" t="str">
        <f aca="false">IF(COUNTIF(Final_CB_B3_V5!$B$2:$B$496,A132)&gt;=1,"YES","NO")</f>
        <v>NO</v>
      </c>
      <c r="D132" s="3" t="str">
        <f aca="false">IF(COUNTIF(Final_CB_B3_V5!$C$2:$C$496,C132)&gt;=1,"YES","NO")</f>
        <v>NO</v>
      </c>
      <c r="G132" s="4"/>
      <c r="H132" s="4"/>
    </row>
    <row r="133" customFormat="false" ht="15.75" hidden="false" customHeight="false" outlineLevel="0" collapsed="false">
      <c r="B133" s="3" t="str">
        <f aca="false">IF(COUNTIF(Final_CB_B3_V5!$B$2:$B$496,A133)&gt;=1,"YES","NO")</f>
        <v>NO</v>
      </c>
      <c r="D133" s="3" t="str">
        <f aca="false">IF(COUNTIF(Final_CB_B3_V5!$C$2:$C$496,C133)&gt;=1,"YES","NO")</f>
        <v>NO</v>
      </c>
      <c r="G133" s="4"/>
      <c r="H133" s="4"/>
    </row>
    <row r="134" customFormat="false" ht="15.75" hidden="false" customHeight="false" outlineLevel="0" collapsed="false">
      <c r="B134" s="3" t="str">
        <f aca="false">IF(COUNTIF(Final_CB_B3_V5!$B$2:$B$496,A134)&gt;=1,"YES","NO")</f>
        <v>NO</v>
      </c>
      <c r="D134" s="3" t="str">
        <f aca="false">IF(COUNTIF(Final_CB_B3_V5!$C$2:$C$496,C134)&gt;=1,"YES","NO")</f>
        <v>NO</v>
      </c>
      <c r="G134" s="4"/>
      <c r="H134" s="4"/>
    </row>
    <row r="135" customFormat="false" ht="15.75" hidden="false" customHeight="false" outlineLevel="0" collapsed="false">
      <c r="B135" s="3" t="str">
        <f aca="false">IF(COUNTIF(Final_CB_B3_V5!$B$2:$B$496,A135)&gt;=1,"YES","NO")</f>
        <v>NO</v>
      </c>
      <c r="D135" s="3" t="str">
        <f aca="false">IF(COUNTIF(Final_CB_B3_V5!$C$2:$C$496,C135)&gt;=1,"YES","NO")</f>
        <v>NO</v>
      </c>
      <c r="G135" s="4"/>
      <c r="H135" s="4"/>
    </row>
    <row r="136" customFormat="false" ht="15.75" hidden="false" customHeight="false" outlineLevel="0" collapsed="false">
      <c r="B136" s="3" t="str">
        <f aca="false">IF(COUNTIF(Final_CB_B3_V5!$B$2:$B$496,A136)&gt;=1,"YES","NO")</f>
        <v>NO</v>
      </c>
      <c r="D136" s="3" t="str">
        <f aca="false">IF(COUNTIF(Final_CB_B3_V5!$C$2:$C$496,C136)&gt;=1,"YES","NO")</f>
        <v>NO</v>
      </c>
      <c r="G136" s="4"/>
      <c r="H136" s="4"/>
    </row>
    <row r="137" customFormat="false" ht="15.75" hidden="false" customHeight="false" outlineLevel="0" collapsed="false">
      <c r="B137" s="3" t="str">
        <f aca="false">IF(COUNTIF(Final_CB_B3_V5!$B$2:$B$496,A137)&gt;=1,"YES","NO")</f>
        <v>NO</v>
      </c>
      <c r="D137" s="3" t="str">
        <f aca="false">IF(COUNTIF(Final_CB_B3_V5!$C$2:$C$496,C137)&gt;=1,"YES","NO")</f>
        <v>NO</v>
      </c>
      <c r="G137" s="4"/>
      <c r="H137" s="4"/>
    </row>
    <row r="138" customFormat="false" ht="15.75" hidden="false" customHeight="false" outlineLevel="0" collapsed="false">
      <c r="B138" s="3" t="str">
        <f aca="false">IF(COUNTIF(Final_CB_B3_V5!$B$2:$B$496,A138)&gt;=1,"YES","NO")</f>
        <v>NO</v>
      </c>
      <c r="D138" s="3" t="str">
        <f aca="false">IF(COUNTIF(Final_CB_B3_V5!$C$2:$C$496,C138)&gt;=1,"YES","NO")</f>
        <v>NO</v>
      </c>
      <c r="G138" s="4"/>
      <c r="H138" s="4"/>
    </row>
    <row r="139" customFormat="false" ht="15.75" hidden="false" customHeight="false" outlineLevel="0" collapsed="false">
      <c r="B139" s="3" t="str">
        <f aca="false">IF(COUNTIF(Final_CB_B3_V5!$B$2:$B$496,A139)&gt;=1,"YES","NO")</f>
        <v>NO</v>
      </c>
      <c r="D139" s="3" t="str">
        <f aca="false">IF(COUNTIF(Final_CB_B3_V5!$C$2:$C$496,C139)&gt;=1,"YES","NO")</f>
        <v>NO</v>
      </c>
      <c r="G139" s="4"/>
      <c r="H139" s="4"/>
    </row>
    <row r="140" customFormat="false" ht="15.75" hidden="false" customHeight="false" outlineLevel="0" collapsed="false">
      <c r="B140" s="3" t="str">
        <f aca="false">IF(COUNTIF(Final_CB_B3_V5!$B$2:$B$496,A140)&gt;=1,"YES","NO")</f>
        <v>NO</v>
      </c>
      <c r="D140" s="3" t="str">
        <f aca="false">IF(COUNTIF(Final_CB_B3_V5!$C$2:$C$496,C140)&gt;=1,"YES","NO")</f>
        <v>NO</v>
      </c>
      <c r="G140" s="4"/>
      <c r="H140" s="4"/>
    </row>
    <row r="141" customFormat="false" ht="15.75" hidden="false" customHeight="false" outlineLevel="0" collapsed="false">
      <c r="B141" s="3" t="str">
        <f aca="false">IF(COUNTIF(Final_CB_B3_V5!$B$2:$B$496,A141)&gt;=1,"YES","NO")</f>
        <v>NO</v>
      </c>
      <c r="D141" s="3" t="str">
        <f aca="false">IF(COUNTIF(Final_CB_B3_V5!$C$2:$C$496,C141)&gt;=1,"YES","NO")</f>
        <v>NO</v>
      </c>
      <c r="G141" s="4"/>
      <c r="H141" s="4"/>
    </row>
    <row r="142" customFormat="false" ht="15.75" hidden="false" customHeight="false" outlineLevel="0" collapsed="false">
      <c r="B142" s="3" t="str">
        <f aca="false">IF(COUNTIF(Final_CB_B3_V5!$B$2:$B$496,A142)&gt;=1,"YES","NO")</f>
        <v>NO</v>
      </c>
      <c r="D142" s="3" t="str">
        <f aca="false">IF(COUNTIF(Final_CB_B3_V5!$C$2:$C$496,C142)&gt;=1,"YES","NO")</f>
        <v>NO</v>
      </c>
      <c r="G142" s="4"/>
      <c r="H142" s="4"/>
    </row>
    <row r="143" customFormat="false" ht="15.75" hidden="false" customHeight="false" outlineLevel="0" collapsed="false">
      <c r="B143" s="3" t="str">
        <f aca="false">IF(COUNTIF(Final_CB_B3_V5!$B$2:$B$496,A143)&gt;=1,"YES","NO")</f>
        <v>NO</v>
      </c>
      <c r="D143" s="3" t="str">
        <f aca="false">IF(COUNTIF(Final_CB_B3_V5!$C$2:$C$496,C143)&gt;=1,"YES","NO")</f>
        <v>NO</v>
      </c>
      <c r="G143" s="4"/>
      <c r="H143" s="4"/>
    </row>
    <row r="144" customFormat="false" ht="15.75" hidden="false" customHeight="false" outlineLevel="0" collapsed="false">
      <c r="B144" s="3" t="str">
        <f aca="false">IF(COUNTIF(Final_CB_B3_V5!$B$2:$B$496,A144)&gt;=1,"YES","NO")</f>
        <v>NO</v>
      </c>
      <c r="D144" s="3" t="str">
        <f aca="false">IF(COUNTIF(Final_CB_B3_V5!$C$2:$C$496,C144)&gt;=1,"YES","NO")</f>
        <v>NO</v>
      </c>
      <c r="G144" s="4"/>
      <c r="H144" s="4"/>
    </row>
    <row r="145" customFormat="false" ht="15.75" hidden="false" customHeight="false" outlineLevel="0" collapsed="false">
      <c r="B145" s="3" t="str">
        <f aca="false">IF(COUNTIF(Final_CB_B3_V5!$B$2:$B$496,A145)&gt;=1,"YES","NO")</f>
        <v>NO</v>
      </c>
      <c r="D145" s="3" t="str">
        <f aca="false">IF(COUNTIF(Final_CB_B3_V5!$C$2:$C$496,C145)&gt;=1,"YES","NO")</f>
        <v>NO</v>
      </c>
      <c r="G145" s="4"/>
      <c r="H145" s="4"/>
    </row>
    <row r="146" customFormat="false" ht="15.75" hidden="false" customHeight="false" outlineLevel="0" collapsed="false">
      <c r="B146" s="3" t="str">
        <f aca="false">IF(COUNTIF(Final_CB_B3_V5!$B$2:$B$496,A146)&gt;=1,"YES","NO")</f>
        <v>NO</v>
      </c>
      <c r="D146" s="3" t="str">
        <f aca="false">IF(COUNTIF(Final_CB_B3_V5!$C$2:$C$496,C146)&gt;=1,"YES","NO")</f>
        <v>NO</v>
      </c>
      <c r="G146" s="4"/>
      <c r="H146" s="4"/>
    </row>
    <row r="147" customFormat="false" ht="15.75" hidden="false" customHeight="false" outlineLevel="0" collapsed="false">
      <c r="B147" s="3" t="str">
        <f aca="false">IF(COUNTIF(Final_CB_B3_V5!$B$2:$B$496,A147)&gt;=1,"YES","NO")</f>
        <v>NO</v>
      </c>
      <c r="D147" s="3" t="str">
        <f aca="false">IF(COUNTIF(Final_CB_B3_V5!$C$2:$C$496,C147)&gt;=1,"YES","NO")</f>
        <v>NO</v>
      </c>
      <c r="G147" s="4"/>
      <c r="H147" s="4"/>
    </row>
    <row r="148" customFormat="false" ht="15.75" hidden="false" customHeight="false" outlineLevel="0" collapsed="false">
      <c r="B148" s="3" t="str">
        <f aca="false">IF(COUNTIF(Final_CB_B3_V5!$B$2:$B$496,A148)&gt;=1,"YES","NO")</f>
        <v>NO</v>
      </c>
      <c r="D148" s="3" t="str">
        <f aca="false">IF(COUNTIF(Final_CB_B3_V5!$C$2:$C$496,C148)&gt;=1,"YES","NO")</f>
        <v>NO</v>
      </c>
      <c r="G148" s="4"/>
      <c r="H148" s="4"/>
    </row>
    <row r="149" customFormat="false" ht="15.75" hidden="false" customHeight="false" outlineLevel="0" collapsed="false">
      <c r="B149" s="3" t="str">
        <f aca="false">IF(COUNTIF(Final_CB_B3_V5!$B$2:$B$496,A149)&gt;=1,"YES","NO")</f>
        <v>NO</v>
      </c>
      <c r="D149" s="3" t="str">
        <f aca="false">IF(COUNTIF(Final_CB_B3_V5!$C$2:$C$496,C149)&gt;=1,"YES","NO")</f>
        <v>NO</v>
      </c>
      <c r="G149" s="4"/>
      <c r="H149" s="4"/>
    </row>
    <row r="150" customFormat="false" ht="15.75" hidden="false" customHeight="false" outlineLevel="0" collapsed="false">
      <c r="B150" s="3" t="str">
        <f aca="false">IF(COUNTIF(Final_CB_B3_V5!$B$2:$B$496,A150)&gt;=1,"YES","NO")</f>
        <v>NO</v>
      </c>
      <c r="D150" s="3" t="str">
        <f aca="false">IF(COUNTIF(Final_CB_B3_V5!$C$2:$C$496,C150)&gt;=1,"YES","NO")</f>
        <v>NO</v>
      </c>
      <c r="G150" s="4"/>
      <c r="H150" s="4"/>
    </row>
    <row r="151" customFormat="false" ht="15.75" hidden="false" customHeight="false" outlineLevel="0" collapsed="false">
      <c r="B151" s="3" t="str">
        <f aca="false">IF(COUNTIF(Final_CB_B3_V5!$B$2:$B$496,A151)&gt;=1,"YES","NO")</f>
        <v>NO</v>
      </c>
      <c r="D151" s="3" t="str">
        <f aca="false">IF(COUNTIF(Final_CB_B3_V5!$C$2:$C$496,C151)&gt;=1,"YES","NO")</f>
        <v>NO</v>
      </c>
      <c r="G151" s="4"/>
      <c r="H151" s="4"/>
    </row>
    <row r="152" customFormat="false" ht="15.75" hidden="false" customHeight="false" outlineLevel="0" collapsed="false">
      <c r="B152" s="3" t="str">
        <f aca="false">IF(COUNTIF(Final_CB_B3_V5!$B$2:$B$496,A152)&gt;=1,"YES","NO")</f>
        <v>NO</v>
      </c>
      <c r="D152" s="3" t="str">
        <f aca="false">IF(COUNTIF(Final_CB_B3_V5!$C$2:$C$496,C152)&gt;=1,"YES","NO")</f>
        <v>NO</v>
      </c>
      <c r="G152" s="4"/>
      <c r="H152" s="4"/>
    </row>
    <row r="153" customFormat="false" ht="15.75" hidden="false" customHeight="false" outlineLevel="0" collapsed="false">
      <c r="B153" s="3" t="str">
        <f aca="false">IF(COUNTIF(Final_CB_B3_V5!$B$2:$B$496,A153)&gt;=1,"YES","NO")</f>
        <v>NO</v>
      </c>
      <c r="D153" s="3" t="str">
        <f aca="false">IF(COUNTIF(Final_CB_B3_V5!$C$2:$C$496,C153)&gt;=1,"YES","NO")</f>
        <v>NO</v>
      </c>
      <c r="G153" s="4"/>
      <c r="H153" s="4"/>
    </row>
    <row r="154" customFormat="false" ht="15.75" hidden="false" customHeight="false" outlineLevel="0" collapsed="false">
      <c r="B154" s="3" t="str">
        <f aca="false">IF(COUNTIF(Final_CB_B3_V5!$B$2:$B$496,A154)&gt;=1,"YES","NO")</f>
        <v>NO</v>
      </c>
      <c r="D154" s="3" t="str">
        <f aca="false">IF(COUNTIF(Final_CB_B3_V5!$C$2:$C$496,C154)&gt;=1,"YES","NO")</f>
        <v>NO</v>
      </c>
      <c r="G154" s="4"/>
      <c r="H154" s="4"/>
    </row>
    <row r="155" customFormat="false" ht="15.75" hidden="false" customHeight="false" outlineLevel="0" collapsed="false">
      <c r="B155" s="3" t="str">
        <f aca="false">IF(COUNTIF(Final_CB_B3_V5!$B$2:$B$496,A155)&gt;=1,"YES","NO")</f>
        <v>NO</v>
      </c>
      <c r="D155" s="3" t="str">
        <f aca="false">IF(COUNTIF(Final_CB_B3_V5!$C$2:$C$496,C155)&gt;=1,"YES","NO")</f>
        <v>NO</v>
      </c>
      <c r="G155" s="4"/>
      <c r="H155" s="4"/>
    </row>
    <row r="156" customFormat="false" ht="15.75" hidden="false" customHeight="false" outlineLevel="0" collapsed="false">
      <c r="B156" s="3" t="str">
        <f aca="false">IF(COUNTIF(Final_CB_B3_V5!$B$2:$B$496,A156)&gt;=1,"YES","NO")</f>
        <v>NO</v>
      </c>
      <c r="D156" s="3" t="str">
        <f aca="false">IF(COUNTIF(Final_CB_B3_V5!$C$2:$C$496,C156)&gt;=1,"YES","NO")</f>
        <v>NO</v>
      </c>
      <c r="G156" s="4"/>
      <c r="H156" s="4"/>
    </row>
    <row r="157" customFormat="false" ht="15.75" hidden="false" customHeight="false" outlineLevel="0" collapsed="false">
      <c r="B157" s="3" t="str">
        <f aca="false">IF(COUNTIF(Final_CB_B3_V5!$B$2:$B$496,A157)&gt;=1,"YES","NO")</f>
        <v>NO</v>
      </c>
      <c r="D157" s="3" t="str">
        <f aca="false">IF(COUNTIF(Final_CB_B3_V5!$C$2:$C$496,C157)&gt;=1,"YES","NO")</f>
        <v>NO</v>
      </c>
      <c r="G157" s="4"/>
      <c r="H157" s="4"/>
    </row>
    <row r="158" customFormat="false" ht="15.75" hidden="false" customHeight="false" outlineLevel="0" collapsed="false">
      <c r="B158" s="3" t="str">
        <f aca="false">IF(COUNTIF(Final_CB_B3_V5!$B$2:$B$496,A158)&gt;=1,"YES","NO")</f>
        <v>NO</v>
      </c>
      <c r="D158" s="3" t="str">
        <f aca="false">IF(COUNTIF(Final_CB_B3_V5!$C$2:$C$496,C158)&gt;=1,"YES","NO")</f>
        <v>NO</v>
      </c>
      <c r="G158" s="4"/>
      <c r="H158" s="4"/>
    </row>
    <row r="159" customFormat="false" ht="15.75" hidden="false" customHeight="false" outlineLevel="0" collapsed="false">
      <c r="B159" s="3" t="str">
        <f aca="false">IF(COUNTIF(Final_CB_B3_V5!$B$2:$B$496,A159)&gt;=1,"YES","NO")</f>
        <v>NO</v>
      </c>
      <c r="D159" s="3" t="str">
        <f aca="false">IF(COUNTIF(Final_CB_B3_V5!$C$2:$C$496,C159)&gt;=1,"YES","NO")</f>
        <v>NO</v>
      </c>
      <c r="G159" s="4"/>
      <c r="H159" s="4"/>
    </row>
    <row r="160" customFormat="false" ht="15.75" hidden="false" customHeight="false" outlineLevel="0" collapsed="false">
      <c r="B160" s="3" t="str">
        <f aca="false">IF(COUNTIF(Final_CB_B3_V5!$B$2:$B$496,A160)&gt;=1,"YES","NO")</f>
        <v>NO</v>
      </c>
      <c r="D160" s="3" t="str">
        <f aca="false">IF(COUNTIF(Final_CB_B3_V5!$C$2:$C$496,C160)&gt;=1,"YES","NO")</f>
        <v>NO</v>
      </c>
      <c r="G160" s="4"/>
      <c r="H160" s="4"/>
    </row>
    <row r="161" customFormat="false" ht="15.75" hidden="false" customHeight="false" outlineLevel="0" collapsed="false">
      <c r="B161" s="3" t="str">
        <f aca="false">IF(COUNTIF(Final_CB_B3_V5!$B$2:$B$496,A161)&gt;=1,"YES","NO")</f>
        <v>NO</v>
      </c>
      <c r="D161" s="3" t="str">
        <f aca="false">IF(COUNTIF(Final_CB_B3_V5!$C$2:$C$496,C161)&gt;=1,"YES","NO")</f>
        <v>NO</v>
      </c>
      <c r="G161" s="4"/>
      <c r="H161" s="4"/>
    </row>
    <row r="162" customFormat="false" ht="15.75" hidden="false" customHeight="false" outlineLevel="0" collapsed="false">
      <c r="B162" s="3" t="str">
        <f aca="false">IF(COUNTIF(Final_CB_B3_V5!$B$2:$B$496,A162)&gt;=1,"YES","NO")</f>
        <v>NO</v>
      </c>
      <c r="D162" s="3" t="str">
        <f aca="false">IF(COUNTIF(Final_CB_B3_V5!$C$2:$C$496,C162)&gt;=1,"YES","NO")</f>
        <v>NO</v>
      </c>
      <c r="G162" s="4"/>
      <c r="H162" s="4"/>
    </row>
    <row r="163" customFormat="false" ht="15.75" hidden="false" customHeight="false" outlineLevel="0" collapsed="false">
      <c r="B163" s="3" t="str">
        <f aca="false">IF(COUNTIF(Final_CB_B3_V5!$B$2:$B$496,A163)&gt;=1,"YES","NO")</f>
        <v>NO</v>
      </c>
      <c r="D163" s="3" t="str">
        <f aca="false">IF(COUNTIF(Final_CB_B3_V5!$C$2:$C$496,C163)&gt;=1,"YES","NO")</f>
        <v>NO</v>
      </c>
      <c r="G163" s="4"/>
      <c r="H163" s="4"/>
    </row>
    <row r="164" customFormat="false" ht="15.75" hidden="false" customHeight="false" outlineLevel="0" collapsed="false">
      <c r="B164" s="3" t="str">
        <f aca="false">IF(COUNTIF(Final_CB_B3_V5!$B$2:$B$496,A164)&gt;=1,"YES","NO")</f>
        <v>NO</v>
      </c>
      <c r="D164" s="3" t="str">
        <f aca="false">IF(COUNTIF(Final_CB_B3_V5!$C$2:$C$496,C164)&gt;=1,"YES","NO")</f>
        <v>NO</v>
      </c>
      <c r="G164" s="4"/>
      <c r="H164" s="4"/>
    </row>
    <row r="165" customFormat="false" ht="15.75" hidden="false" customHeight="false" outlineLevel="0" collapsed="false">
      <c r="B165" s="3" t="str">
        <f aca="false">IF(COUNTIF(Final_CB_B3_V5!$B$2:$B$496,A165)&gt;=1,"YES","NO")</f>
        <v>NO</v>
      </c>
      <c r="D165" s="3" t="str">
        <f aca="false">IF(COUNTIF(Final_CB_B3_V5!$C$2:$C$496,C165)&gt;=1,"YES","NO")</f>
        <v>NO</v>
      </c>
      <c r="G165" s="4"/>
      <c r="H165" s="4"/>
    </row>
    <row r="166" customFormat="false" ht="15.75" hidden="false" customHeight="false" outlineLevel="0" collapsed="false">
      <c r="B166" s="3" t="str">
        <f aca="false">IF(COUNTIF(Final_CB_B3_V5!$B$2:$B$496,A166)&gt;=1,"YES","NO")</f>
        <v>NO</v>
      </c>
      <c r="D166" s="3" t="str">
        <f aca="false">IF(COUNTIF(Final_CB_B3_V5!$C$2:$C$496,C166)&gt;=1,"YES","NO")</f>
        <v>NO</v>
      </c>
      <c r="G166" s="4"/>
      <c r="H166" s="4"/>
    </row>
    <row r="167" customFormat="false" ht="15.75" hidden="false" customHeight="false" outlineLevel="0" collapsed="false">
      <c r="B167" s="3" t="str">
        <f aca="false">IF(COUNTIF(Final_CB_B3_V5!$B$2:$B$496,A167)&gt;=1,"YES","NO")</f>
        <v>NO</v>
      </c>
      <c r="D167" s="3" t="str">
        <f aca="false">IF(COUNTIF(Final_CB_B3_V5!$C$2:$C$496,C167)&gt;=1,"YES","NO")</f>
        <v>NO</v>
      </c>
      <c r="G167" s="4"/>
      <c r="H167" s="4"/>
    </row>
    <row r="168" customFormat="false" ht="15.75" hidden="false" customHeight="false" outlineLevel="0" collapsed="false">
      <c r="B168" s="3" t="str">
        <f aca="false">IF(COUNTIF(Final_CB_B3_V5!$B$2:$B$496,A168)&gt;=1,"YES","NO")</f>
        <v>NO</v>
      </c>
      <c r="D168" s="3" t="str">
        <f aca="false">IF(COUNTIF(Final_CB_B3_V5!$C$2:$C$496,C168)&gt;=1,"YES","NO")</f>
        <v>NO</v>
      </c>
      <c r="G168" s="4"/>
      <c r="H168" s="4"/>
    </row>
    <row r="169" customFormat="false" ht="15.75" hidden="false" customHeight="false" outlineLevel="0" collapsed="false">
      <c r="B169" s="3" t="str">
        <f aca="false">IF(COUNTIF(Final_CB_B3_V5!$B$2:$B$496,A169)&gt;=1,"YES","NO")</f>
        <v>NO</v>
      </c>
      <c r="D169" s="3" t="str">
        <f aca="false">IF(COUNTIF(Final_CB_B3_V5!$C$2:$C$496,C169)&gt;=1,"YES","NO")</f>
        <v>NO</v>
      </c>
      <c r="G169" s="4"/>
      <c r="H169" s="4"/>
    </row>
    <row r="170" customFormat="false" ht="15.75" hidden="false" customHeight="false" outlineLevel="0" collapsed="false">
      <c r="B170" s="3" t="str">
        <f aca="false">IF(COUNTIF(Final_CB_B3_V5!$B$2:$B$496,A170)&gt;=1,"YES","NO")</f>
        <v>NO</v>
      </c>
      <c r="D170" s="3" t="str">
        <f aca="false">IF(COUNTIF(Final_CB_B3_V5!$C$2:$C$496,C170)&gt;=1,"YES","NO")</f>
        <v>NO</v>
      </c>
      <c r="G170" s="4"/>
      <c r="H170" s="4"/>
    </row>
    <row r="171" customFormat="false" ht="15.75" hidden="false" customHeight="false" outlineLevel="0" collapsed="false">
      <c r="B171" s="3" t="str">
        <f aca="false">IF(COUNTIF(Final_CB_B3_V5!$B$2:$B$496,A171)&gt;=1,"YES","NO")</f>
        <v>NO</v>
      </c>
      <c r="D171" s="3" t="str">
        <f aca="false">IF(COUNTIF(Final_CB_B3_V5!$C$2:$C$496,C171)&gt;=1,"YES","NO")</f>
        <v>NO</v>
      </c>
      <c r="G171" s="4"/>
      <c r="H171" s="4"/>
    </row>
    <row r="172" customFormat="false" ht="15.75" hidden="false" customHeight="false" outlineLevel="0" collapsed="false">
      <c r="B172" s="3" t="str">
        <f aca="false">IF(COUNTIF(Final_CB_B3_V5!$B$2:$B$496,A172)&gt;=1,"YES","NO")</f>
        <v>NO</v>
      </c>
      <c r="D172" s="3" t="str">
        <f aca="false">IF(COUNTIF(Final_CB_B3_V5!$C$2:$C$496,C172)&gt;=1,"YES","NO")</f>
        <v>NO</v>
      </c>
      <c r="G172" s="4"/>
      <c r="H172" s="4"/>
    </row>
    <row r="173" customFormat="false" ht="15.75" hidden="false" customHeight="false" outlineLevel="0" collapsed="false">
      <c r="B173" s="3" t="str">
        <f aca="false">IF(COUNTIF(Final_CB_B3_V5!$B$2:$B$496,A173)&gt;=1,"YES","NO")</f>
        <v>NO</v>
      </c>
      <c r="D173" s="3" t="str">
        <f aca="false">IF(COUNTIF(Final_CB_B3_V5!$C$2:$C$496,C173)&gt;=1,"YES","NO")</f>
        <v>NO</v>
      </c>
      <c r="G173" s="4"/>
      <c r="H173" s="4"/>
    </row>
    <row r="174" customFormat="false" ht="15.75" hidden="false" customHeight="false" outlineLevel="0" collapsed="false">
      <c r="B174" s="3" t="str">
        <f aca="false">IF(COUNTIF(Final_CB_B3_V5!$B$2:$B$496,A174)&gt;=1,"YES","NO")</f>
        <v>NO</v>
      </c>
      <c r="D174" s="3" t="str">
        <f aca="false">IF(COUNTIF(Final_CB_B3_V5!$C$2:$C$496,C174)&gt;=1,"YES","NO")</f>
        <v>NO</v>
      </c>
      <c r="G174" s="4"/>
      <c r="H174" s="4"/>
    </row>
    <row r="175" customFormat="false" ht="15.75" hidden="false" customHeight="false" outlineLevel="0" collapsed="false">
      <c r="B175" s="3" t="str">
        <f aca="false">IF(COUNTIF(Final_CB_B3_V5!$B$2:$B$496,A175)&gt;=1,"YES","NO")</f>
        <v>NO</v>
      </c>
      <c r="D175" s="3" t="str">
        <f aca="false">IF(COUNTIF(Final_CB_B3_V5!$C$2:$C$496,C175)&gt;=1,"YES","NO")</f>
        <v>NO</v>
      </c>
      <c r="G175" s="4"/>
      <c r="H175" s="4"/>
    </row>
    <row r="176" customFormat="false" ht="15.75" hidden="false" customHeight="false" outlineLevel="0" collapsed="false">
      <c r="B176" s="3" t="str">
        <f aca="false">IF(COUNTIF(Final_CB_B3_V5!$B$2:$B$496,A176)&gt;=1,"YES","NO")</f>
        <v>NO</v>
      </c>
      <c r="D176" s="3" t="str">
        <f aca="false">IF(COUNTIF(Final_CB_B3_V5!$C$2:$C$496,C176)&gt;=1,"YES","NO")</f>
        <v>NO</v>
      </c>
      <c r="G176" s="4"/>
      <c r="H176" s="4"/>
    </row>
    <row r="177" customFormat="false" ht="15.75" hidden="false" customHeight="false" outlineLevel="0" collapsed="false">
      <c r="B177" s="3" t="str">
        <f aca="false">IF(COUNTIF(Final_CB_B3_V5!$B$2:$B$496,A177)&gt;=1,"YES","NO")</f>
        <v>NO</v>
      </c>
      <c r="D177" s="3" t="str">
        <f aca="false">IF(COUNTIF(Final_CB_B3_V5!$C$2:$C$496,C177)&gt;=1,"YES","NO")</f>
        <v>NO</v>
      </c>
      <c r="G177" s="4"/>
      <c r="H177" s="4"/>
    </row>
    <row r="178" customFormat="false" ht="15.75" hidden="false" customHeight="false" outlineLevel="0" collapsed="false">
      <c r="B178" s="3" t="str">
        <f aca="false">IF(COUNTIF(Final_CB_B3_V5!$B$2:$B$496,A178)&gt;=1,"YES","NO")</f>
        <v>NO</v>
      </c>
      <c r="D178" s="3" t="str">
        <f aca="false">IF(COUNTIF(Final_CB_B3_V5!$C$2:$C$496,C178)&gt;=1,"YES","NO")</f>
        <v>NO</v>
      </c>
      <c r="G178" s="4"/>
      <c r="H178" s="4"/>
    </row>
    <row r="179" customFormat="false" ht="15.75" hidden="false" customHeight="false" outlineLevel="0" collapsed="false">
      <c r="B179" s="3" t="str">
        <f aca="false">IF(COUNTIF(Final_CB_B3_V5!$B$2:$B$496,A179)&gt;=1,"YES","NO")</f>
        <v>NO</v>
      </c>
      <c r="D179" s="3" t="str">
        <f aca="false">IF(COUNTIF(Final_CB_B3_V5!$C$2:$C$496,C179)&gt;=1,"YES","NO")</f>
        <v>NO</v>
      </c>
      <c r="G179" s="4"/>
      <c r="H179" s="4"/>
    </row>
    <row r="180" customFormat="false" ht="15.75" hidden="false" customHeight="false" outlineLevel="0" collapsed="false">
      <c r="B180" s="3" t="str">
        <f aca="false">IF(COUNTIF(Final_CB_B3_V5!$B$2:$B$496,A180)&gt;=1,"YES","NO")</f>
        <v>NO</v>
      </c>
      <c r="D180" s="3" t="str">
        <f aca="false">IF(COUNTIF(Final_CB_B3_V5!$C$2:$C$496,C180)&gt;=1,"YES","NO")</f>
        <v>NO</v>
      </c>
      <c r="G180" s="4"/>
      <c r="H180" s="4"/>
    </row>
    <row r="181" customFormat="false" ht="15.75" hidden="false" customHeight="false" outlineLevel="0" collapsed="false">
      <c r="B181" s="3" t="str">
        <f aca="false">IF(COUNTIF(Final_CB_B3_V5!$B$2:$B$496,A181)&gt;=1,"YES","NO")</f>
        <v>NO</v>
      </c>
      <c r="D181" s="3" t="str">
        <f aca="false">IF(COUNTIF(Final_CB_B3_V5!$C$2:$C$496,C181)&gt;=1,"YES","NO")</f>
        <v>NO</v>
      </c>
      <c r="G181" s="4"/>
      <c r="H181" s="4"/>
    </row>
    <row r="182" customFormat="false" ht="15.75" hidden="false" customHeight="false" outlineLevel="0" collapsed="false">
      <c r="B182" s="3" t="str">
        <f aca="false">IF(COUNTIF(Final_CB_B3_V5!$B$2:$B$496,A182)&gt;=1,"YES","NO")</f>
        <v>NO</v>
      </c>
      <c r="D182" s="3" t="str">
        <f aca="false">IF(COUNTIF(Final_CB_B3_V5!$C$2:$C$496,C182)&gt;=1,"YES","NO")</f>
        <v>NO</v>
      </c>
      <c r="G182" s="4"/>
      <c r="H182" s="4"/>
    </row>
    <row r="183" customFormat="false" ht="15.75" hidden="false" customHeight="false" outlineLevel="0" collapsed="false">
      <c r="B183" s="3" t="str">
        <f aca="false">IF(COUNTIF(Final_CB_B3_V5!$B$2:$B$496,A183)&gt;=1,"YES","NO")</f>
        <v>NO</v>
      </c>
      <c r="D183" s="3" t="str">
        <f aca="false">IF(COUNTIF(Final_CB_B3_V5!$C$2:$C$496,C183)&gt;=1,"YES","NO")</f>
        <v>NO</v>
      </c>
      <c r="G183" s="4"/>
      <c r="H183" s="4"/>
    </row>
    <row r="184" customFormat="false" ht="15.75" hidden="false" customHeight="false" outlineLevel="0" collapsed="false">
      <c r="B184" s="3" t="str">
        <f aca="false">IF(COUNTIF(Final_CB_B3_V5!$B$2:$B$496,A184)&gt;=1,"YES","NO")</f>
        <v>NO</v>
      </c>
      <c r="D184" s="3" t="str">
        <f aca="false">IF(COUNTIF(Final_CB_B3_V5!$C$2:$C$496,C184)&gt;=1,"YES","NO")</f>
        <v>NO</v>
      </c>
      <c r="G184" s="4"/>
      <c r="H184" s="4"/>
    </row>
    <row r="185" customFormat="false" ht="15.75" hidden="false" customHeight="false" outlineLevel="0" collapsed="false">
      <c r="B185" s="3" t="str">
        <f aca="false">IF(COUNTIF(Final_CB_B3_V5!$B$2:$B$496,A185)&gt;=1,"YES","NO")</f>
        <v>NO</v>
      </c>
      <c r="D185" s="3" t="str">
        <f aca="false">IF(COUNTIF(Final_CB_B3_V5!$C$2:$C$496,C185)&gt;=1,"YES","NO")</f>
        <v>NO</v>
      </c>
      <c r="G185" s="4"/>
      <c r="H185" s="4"/>
    </row>
    <row r="186" customFormat="false" ht="15.75" hidden="false" customHeight="false" outlineLevel="0" collapsed="false">
      <c r="B186" s="3" t="str">
        <f aca="false">IF(COUNTIF(Final_CB_B3_V5!$B$2:$B$496,A186)&gt;=1,"YES","NO")</f>
        <v>NO</v>
      </c>
      <c r="D186" s="3" t="str">
        <f aca="false">IF(COUNTIF(Final_CB_B3_V5!$C$2:$C$496,C186)&gt;=1,"YES","NO")</f>
        <v>NO</v>
      </c>
      <c r="G186" s="4"/>
      <c r="H186" s="4"/>
    </row>
    <row r="187" customFormat="false" ht="15.75" hidden="false" customHeight="false" outlineLevel="0" collapsed="false">
      <c r="B187" s="3" t="str">
        <f aca="false">IF(COUNTIF(Final_CB_B3_V5!$B$2:$B$496,A187)&gt;=1,"YES","NO")</f>
        <v>NO</v>
      </c>
      <c r="D187" s="3" t="str">
        <f aca="false">IF(COUNTIF(Final_CB_B3_V5!$C$2:$C$496,C187)&gt;=1,"YES","NO")</f>
        <v>NO</v>
      </c>
      <c r="G187" s="4"/>
      <c r="H187" s="4"/>
    </row>
    <row r="188" customFormat="false" ht="15.75" hidden="false" customHeight="false" outlineLevel="0" collapsed="false">
      <c r="B188" s="3" t="str">
        <f aca="false">IF(COUNTIF(Final_CB_B3_V5!$B$2:$B$496,A188)&gt;=1,"YES","NO")</f>
        <v>NO</v>
      </c>
      <c r="D188" s="3" t="str">
        <f aca="false">IF(COUNTIF(Final_CB_B3_V5!$C$2:$C$496,C188)&gt;=1,"YES","NO")</f>
        <v>NO</v>
      </c>
      <c r="G188" s="4"/>
      <c r="H188" s="4"/>
    </row>
    <row r="189" customFormat="false" ht="15.75" hidden="false" customHeight="false" outlineLevel="0" collapsed="false">
      <c r="B189" s="3" t="str">
        <f aca="false">IF(COUNTIF(Final_CB_B3_V5!$B$2:$B$496,A189)&gt;=1,"YES","NO")</f>
        <v>NO</v>
      </c>
      <c r="D189" s="3" t="str">
        <f aca="false">IF(COUNTIF(Final_CB_B3_V5!$C$2:$C$496,C189)&gt;=1,"YES","NO")</f>
        <v>NO</v>
      </c>
      <c r="G189" s="4"/>
      <c r="H189" s="4"/>
    </row>
    <row r="190" customFormat="false" ht="15.75" hidden="false" customHeight="false" outlineLevel="0" collapsed="false">
      <c r="B190" s="3" t="str">
        <f aca="false">IF(COUNTIF(Final_CB_B3_V5!$B$2:$B$496,A190)&gt;=1,"YES","NO")</f>
        <v>NO</v>
      </c>
      <c r="D190" s="3" t="str">
        <f aca="false">IF(COUNTIF(Final_CB_B3_V5!$C$2:$C$496,C190)&gt;=1,"YES","NO")</f>
        <v>NO</v>
      </c>
      <c r="G190" s="4"/>
      <c r="H190" s="4"/>
    </row>
    <row r="191" customFormat="false" ht="15.75" hidden="false" customHeight="false" outlineLevel="0" collapsed="false">
      <c r="B191" s="3" t="str">
        <f aca="false">IF(COUNTIF(Final_CB_B3_V5!$B$2:$B$496,A191)&gt;=1,"YES","NO")</f>
        <v>NO</v>
      </c>
      <c r="D191" s="3" t="str">
        <f aca="false">IF(COUNTIF(Final_CB_B3_V5!$C$2:$C$496,C191)&gt;=1,"YES","NO")</f>
        <v>NO</v>
      </c>
      <c r="G191" s="4"/>
      <c r="H191" s="4"/>
    </row>
    <row r="192" customFormat="false" ht="15.75" hidden="false" customHeight="false" outlineLevel="0" collapsed="false">
      <c r="B192" s="3" t="str">
        <f aca="false">IF(COUNTIF(Final_CB_B3_V5!$B$2:$B$496,A192)&gt;=1,"YES","NO")</f>
        <v>NO</v>
      </c>
      <c r="D192" s="3" t="str">
        <f aca="false">IF(COUNTIF(Final_CB_B3_V5!$C$2:$C$496,C192)&gt;=1,"YES","NO")</f>
        <v>NO</v>
      </c>
      <c r="G192" s="4"/>
      <c r="H192" s="4"/>
    </row>
    <row r="193" customFormat="false" ht="15.75" hidden="false" customHeight="false" outlineLevel="0" collapsed="false">
      <c r="B193" s="3" t="str">
        <f aca="false">IF(COUNTIF(Final_CB_B3_V5!$B$2:$B$496,A193)&gt;=1,"YES","NO")</f>
        <v>NO</v>
      </c>
      <c r="D193" s="3" t="str">
        <f aca="false">IF(COUNTIF(Final_CB_B3_V5!$C$2:$C$496,C193)&gt;=1,"YES","NO")</f>
        <v>NO</v>
      </c>
      <c r="G193" s="4"/>
      <c r="H193" s="4"/>
    </row>
    <row r="194" customFormat="false" ht="15.75" hidden="false" customHeight="false" outlineLevel="0" collapsed="false">
      <c r="B194" s="3" t="str">
        <f aca="false">IF(COUNTIF(Final_CB_B3_V5!$B$2:$B$496,A194)&gt;=1,"YES","NO")</f>
        <v>NO</v>
      </c>
      <c r="D194" s="3" t="str">
        <f aca="false">IF(COUNTIF(Final_CB_B3_V5!$C$2:$C$496,C194)&gt;=1,"YES","NO")</f>
        <v>NO</v>
      </c>
      <c r="G194" s="4"/>
      <c r="H194" s="4"/>
    </row>
    <row r="195" customFormat="false" ht="15.75" hidden="false" customHeight="false" outlineLevel="0" collapsed="false">
      <c r="B195" s="3" t="str">
        <f aca="false">IF(COUNTIF(Final_CB_B3_V5!$B$2:$B$496,A195)&gt;=1,"YES","NO")</f>
        <v>NO</v>
      </c>
      <c r="D195" s="3" t="str">
        <f aca="false">IF(COUNTIF(Final_CB_B3_V5!$C$2:$C$496,C195)&gt;=1,"YES","NO")</f>
        <v>NO</v>
      </c>
      <c r="G195" s="4"/>
      <c r="H195" s="4"/>
    </row>
    <row r="196" customFormat="false" ht="15.75" hidden="false" customHeight="false" outlineLevel="0" collapsed="false">
      <c r="B196" s="3" t="str">
        <f aca="false">IF(COUNTIF(Final_CB_B3_V5!$B$2:$B$496,A196)&gt;=1,"YES","NO")</f>
        <v>NO</v>
      </c>
      <c r="D196" s="3" t="str">
        <f aca="false">IF(COUNTIF(Final_CB_B3_V5!$C$2:$C$496,C196)&gt;=1,"YES","NO")</f>
        <v>NO</v>
      </c>
      <c r="G196" s="4"/>
      <c r="H196" s="4"/>
    </row>
    <row r="197" customFormat="false" ht="15.75" hidden="false" customHeight="false" outlineLevel="0" collapsed="false">
      <c r="B197" s="3" t="str">
        <f aca="false">IF(COUNTIF(Final_CB_B3_V5!$B$2:$B$496,A197)&gt;=1,"YES","NO")</f>
        <v>NO</v>
      </c>
      <c r="D197" s="3" t="str">
        <f aca="false">IF(COUNTIF(Final_CB_B3_V5!$C$2:$C$496,C197)&gt;=1,"YES","NO")</f>
        <v>NO</v>
      </c>
      <c r="G197" s="4"/>
      <c r="H197" s="4"/>
    </row>
    <row r="198" customFormat="false" ht="15.75" hidden="false" customHeight="false" outlineLevel="0" collapsed="false">
      <c r="B198" s="3" t="str">
        <f aca="false">IF(COUNTIF(Final_CB_B3_V5!$B$2:$B$496,A198)&gt;=1,"YES","NO")</f>
        <v>NO</v>
      </c>
      <c r="D198" s="3" t="str">
        <f aca="false">IF(COUNTIF(Final_CB_B3_V5!$C$2:$C$496,C198)&gt;=1,"YES","NO")</f>
        <v>NO</v>
      </c>
      <c r="G198" s="4"/>
      <c r="H198" s="4"/>
    </row>
    <row r="199" customFormat="false" ht="15.75" hidden="false" customHeight="false" outlineLevel="0" collapsed="false">
      <c r="B199" s="3" t="str">
        <f aca="false">IF(COUNTIF(Final_CB_B3_V5!$B$2:$B$496,A199)&gt;=1,"YES","NO")</f>
        <v>NO</v>
      </c>
      <c r="D199" s="3" t="str">
        <f aca="false">IF(COUNTIF(Final_CB_B3_V5!$C$2:$C$496,C199)&gt;=1,"YES","NO")</f>
        <v>NO</v>
      </c>
      <c r="G199" s="4"/>
      <c r="H199" s="4"/>
    </row>
    <row r="200" customFormat="false" ht="15.75" hidden="false" customHeight="false" outlineLevel="0" collapsed="false">
      <c r="B200" s="3" t="str">
        <f aca="false">IF(COUNTIF(Final_CB_B3_V5!$B$2:$B$496,A200)&gt;=1,"YES","NO")</f>
        <v>NO</v>
      </c>
      <c r="D200" s="3" t="str">
        <f aca="false">IF(COUNTIF(Final_CB_B3_V5!$C$2:$C$496,C200)&gt;=1,"YES","NO")</f>
        <v>NO</v>
      </c>
      <c r="G200" s="4"/>
      <c r="H200" s="4"/>
    </row>
    <row r="201" customFormat="false" ht="15.75" hidden="false" customHeight="false" outlineLevel="0" collapsed="false">
      <c r="B201" s="3" t="str">
        <f aca="false">IF(COUNTIF(Final_CB_B3_V5!$B$2:$B$496,A201)&gt;=1,"YES","NO")</f>
        <v>NO</v>
      </c>
      <c r="D201" s="3" t="str">
        <f aca="false">IF(COUNTIF(Final_CB_B3_V5!$C$2:$C$496,C201)&gt;=1,"YES","NO")</f>
        <v>NO</v>
      </c>
      <c r="G201" s="4"/>
      <c r="H201" s="4"/>
    </row>
    <row r="202" customFormat="false" ht="15.75" hidden="false" customHeight="false" outlineLevel="0" collapsed="false">
      <c r="B202" s="3" t="str">
        <f aca="false">IF(COUNTIF(Final_CB_B3_V5!$B$2:$B$496,A202)&gt;=1,"YES","NO")</f>
        <v>NO</v>
      </c>
      <c r="D202" s="3" t="str">
        <f aca="false">IF(COUNTIF(Final_CB_B3_V5!$C$2:$C$496,C202)&gt;=1,"YES","NO")</f>
        <v>NO</v>
      </c>
      <c r="G202" s="4"/>
      <c r="H202" s="4"/>
    </row>
    <row r="203" customFormat="false" ht="15.75" hidden="false" customHeight="false" outlineLevel="0" collapsed="false">
      <c r="B203" s="3" t="str">
        <f aca="false">IF(COUNTIF(Final_CB_B3_V5!$B$2:$B$496,A203)&gt;=1,"YES","NO")</f>
        <v>NO</v>
      </c>
      <c r="D203" s="3" t="str">
        <f aca="false">IF(COUNTIF(Final_CB_B3_V5!$C$2:$C$496,C203)&gt;=1,"YES","NO")</f>
        <v>NO</v>
      </c>
      <c r="G203" s="4"/>
      <c r="H203" s="4"/>
    </row>
    <row r="204" customFormat="false" ht="15.75" hidden="false" customHeight="false" outlineLevel="0" collapsed="false">
      <c r="B204" s="3" t="str">
        <f aca="false">IF(COUNTIF(Final_CB_B3_V5!$B$2:$B$496,A204)&gt;=1,"YES","NO")</f>
        <v>NO</v>
      </c>
      <c r="D204" s="3" t="str">
        <f aca="false">IF(COUNTIF(Final_CB_B3_V5!$C$2:$C$496,C204)&gt;=1,"YES","NO")</f>
        <v>NO</v>
      </c>
      <c r="G204" s="4"/>
      <c r="H204" s="4"/>
    </row>
    <row r="205" customFormat="false" ht="15.75" hidden="false" customHeight="false" outlineLevel="0" collapsed="false">
      <c r="B205" s="3" t="str">
        <f aca="false">IF(COUNTIF(Final_CB_B3_V5!$B$2:$B$496,A205)&gt;=1,"YES","NO")</f>
        <v>NO</v>
      </c>
      <c r="D205" s="3" t="str">
        <f aca="false">IF(COUNTIF(Final_CB_B3_V5!$C$2:$C$496,C205)&gt;=1,"YES","NO")</f>
        <v>NO</v>
      </c>
      <c r="G205" s="4"/>
      <c r="H205" s="4"/>
    </row>
    <row r="206" customFormat="false" ht="15.75" hidden="false" customHeight="false" outlineLevel="0" collapsed="false">
      <c r="B206" s="3" t="str">
        <f aca="false">IF(COUNTIF(Final_CB_B3_V5!$B$2:$B$496,A206)&gt;=1,"YES","NO")</f>
        <v>NO</v>
      </c>
      <c r="D206" s="3" t="str">
        <f aca="false">IF(COUNTIF(Final_CB_B3_V5!$C$2:$C$496,C206)&gt;=1,"YES","NO")</f>
        <v>NO</v>
      </c>
      <c r="G206" s="4"/>
      <c r="H206" s="4"/>
    </row>
    <row r="207" customFormat="false" ht="15.75" hidden="false" customHeight="false" outlineLevel="0" collapsed="false">
      <c r="B207" s="3" t="str">
        <f aca="false">IF(COUNTIF(Final_CB_B3_V5!$B$2:$B$496,A207)&gt;=1,"YES","NO")</f>
        <v>NO</v>
      </c>
      <c r="D207" s="3" t="str">
        <f aca="false">IF(COUNTIF(Final_CB_B3_V5!$C$2:$C$496,C207)&gt;=1,"YES","NO")</f>
        <v>NO</v>
      </c>
      <c r="G207" s="4"/>
      <c r="H207" s="4"/>
    </row>
    <row r="208" customFormat="false" ht="15.75" hidden="false" customHeight="false" outlineLevel="0" collapsed="false">
      <c r="B208" s="3" t="str">
        <f aca="false">IF(COUNTIF(Final_CB_B3_V5!$B$2:$B$496,A208)&gt;=1,"YES","NO")</f>
        <v>NO</v>
      </c>
      <c r="D208" s="3" t="str">
        <f aca="false">IF(COUNTIF(Final_CB_B3_V5!$C$2:$C$496,C208)&gt;=1,"YES","NO")</f>
        <v>NO</v>
      </c>
      <c r="G208" s="4"/>
      <c r="H208" s="4"/>
    </row>
    <row r="209" customFormat="false" ht="15.75" hidden="false" customHeight="false" outlineLevel="0" collapsed="false">
      <c r="B209" s="3" t="str">
        <f aca="false">IF(COUNTIF(Final_CB_B3_V5!$B$2:$B$496,A209)&gt;=1,"YES","NO")</f>
        <v>NO</v>
      </c>
      <c r="D209" s="3" t="str">
        <f aca="false">IF(COUNTIF(Final_CB_B3_V5!$C$2:$C$496,C209)&gt;=1,"YES","NO")</f>
        <v>NO</v>
      </c>
      <c r="G209" s="4"/>
      <c r="H209" s="4"/>
    </row>
    <row r="210" customFormat="false" ht="15.75" hidden="false" customHeight="false" outlineLevel="0" collapsed="false">
      <c r="B210" s="3" t="str">
        <f aca="false">IF(COUNTIF(Final_CB_B3_V5!$B$2:$B$496,A210)&gt;=1,"YES","NO")</f>
        <v>NO</v>
      </c>
      <c r="D210" s="3" t="str">
        <f aca="false">IF(COUNTIF(Final_CB_B3_V5!$C$2:$C$496,C210)&gt;=1,"YES","NO")</f>
        <v>NO</v>
      </c>
      <c r="G210" s="4"/>
      <c r="H210" s="4"/>
    </row>
    <row r="211" customFormat="false" ht="15.75" hidden="false" customHeight="false" outlineLevel="0" collapsed="false">
      <c r="B211" s="3" t="str">
        <f aca="false">IF(COUNTIF(Final_CB_B3_V5!$B$2:$B$496,A211)&gt;=1,"YES","NO")</f>
        <v>NO</v>
      </c>
      <c r="D211" s="3" t="str">
        <f aca="false">IF(COUNTIF(Final_CB_B3_V5!$C$2:$C$496,C211)&gt;=1,"YES","NO")</f>
        <v>NO</v>
      </c>
      <c r="G211" s="4"/>
      <c r="H211" s="4"/>
    </row>
    <row r="212" customFormat="false" ht="15.75" hidden="false" customHeight="false" outlineLevel="0" collapsed="false">
      <c r="B212" s="3" t="str">
        <f aca="false">IF(COUNTIF(Final_CB_B3_V5!$B$2:$B$496,A212)&gt;=1,"YES","NO")</f>
        <v>NO</v>
      </c>
      <c r="D212" s="3" t="str">
        <f aca="false">IF(COUNTIF(Final_CB_B3_V5!$C$2:$C$496,C212)&gt;=1,"YES","NO")</f>
        <v>NO</v>
      </c>
      <c r="G212" s="4"/>
      <c r="H212" s="4"/>
    </row>
    <row r="213" customFormat="false" ht="15.75" hidden="false" customHeight="false" outlineLevel="0" collapsed="false">
      <c r="B213" s="3" t="str">
        <f aca="false">IF(COUNTIF(Final_CB_B3_V5!$B$2:$B$496,A213)&gt;=1,"YES","NO")</f>
        <v>NO</v>
      </c>
      <c r="D213" s="3" t="str">
        <f aca="false">IF(COUNTIF(Final_CB_B3_V5!$C$2:$C$496,C213)&gt;=1,"YES","NO")</f>
        <v>NO</v>
      </c>
      <c r="G213" s="4"/>
      <c r="H213" s="4"/>
    </row>
    <row r="214" customFormat="false" ht="15.75" hidden="false" customHeight="false" outlineLevel="0" collapsed="false">
      <c r="B214" s="3" t="str">
        <f aca="false">IF(COUNTIF(Final_CB_B3_V5!$B$2:$B$496,A214)&gt;=1,"YES","NO")</f>
        <v>NO</v>
      </c>
      <c r="D214" s="3" t="str">
        <f aca="false">IF(COUNTIF(Final_CB_B3_V5!$C$2:$C$496,C214)&gt;=1,"YES","NO")</f>
        <v>NO</v>
      </c>
      <c r="G214" s="4"/>
      <c r="H214" s="4"/>
    </row>
    <row r="215" customFormat="false" ht="15.75" hidden="false" customHeight="false" outlineLevel="0" collapsed="false">
      <c r="B215" s="3" t="str">
        <f aca="false">IF(COUNTIF(Final_CB_B3_V5!$B$2:$B$496,A215)&gt;=1,"YES","NO")</f>
        <v>NO</v>
      </c>
      <c r="D215" s="3" t="str">
        <f aca="false">IF(COUNTIF(Final_CB_B3_V5!$C$2:$C$496,C215)&gt;=1,"YES","NO")</f>
        <v>NO</v>
      </c>
      <c r="G215" s="4"/>
      <c r="H215" s="4"/>
    </row>
    <row r="216" customFormat="false" ht="15.75" hidden="false" customHeight="false" outlineLevel="0" collapsed="false">
      <c r="B216" s="3" t="str">
        <f aca="false">IF(COUNTIF(Final_CB_B3_V5!$B$2:$B$496,A216)&gt;=1,"YES","NO")</f>
        <v>NO</v>
      </c>
      <c r="D216" s="3" t="str">
        <f aca="false">IF(COUNTIF(Final_CB_B3_V5!$C$2:$C$496,C216)&gt;=1,"YES","NO")</f>
        <v>NO</v>
      </c>
      <c r="G216" s="4"/>
      <c r="H216" s="4"/>
    </row>
    <row r="217" customFormat="false" ht="15.75" hidden="false" customHeight="false" outlineLevel="0" collapsed="false">
      <c r="B217" s="3" t="str">
        <f aca="false">IF(COUNTIF(Final_CB_B3_V5!$B$2:$B$496,A217)&gt;=1,"YES","NO")</f>
        <v>NO</v>
      </c>
      <c r="D217" s="3" t="str">
        <f aca="false">IF(COUNTIF(Final_CB_B3_V5!$C$2:$C$496,C217)&gt;=1,"YES","NO")</f>
        <v>NO</v>
      </c>
      <c r="G217" s="4"/>
      <c r="H217" s="4"/>
    </row>
    <row r="218" customFormat="false" ht="15.75" hidden="false" customHeight="false" outlineLevel="0" collapsed="false">
      <c r="B218" s="3" t="str">
        <f aca="false">IF(COUNTIF(Final_CB_B3_V5!$B$2:$B$496,A218)&gt;=1,"YES","NO")</f>
        <v>NO</v>
      </c>
      <c r="D218" s="3" t="str">
        <f aca="false">IF(COUNTIF(Final_CB_B3_V5!$C$2:$C$496,C218)&gt;=1,"YES","NO")</f>
        <v>NO</v>
      </c>
      <c r="G218" s="4"/>
      <c r="H218" s="4"/>
    </row>
    <row r="219" customFormat="false" ht="15.75" hidden="false" customHeight="false" outlineLevel="0" collapsed="false">
      <c r="B219" s="3" t="str">
        <f aca="false">IF(COUNTIF(Final_CB_B3_V5!$B$2:$B$496,A219)&gt;=1,"YES","NO")</f>
        <v>NO</v>
      </c>
      <c r="D219" s="3" t="str">
        <f aca="false">IF(COUNTIF(Final_CB_B3_V5!$C$2:$C$496,C219)&gt;=1,"YES","NO")</f>
        <v>NO</v>
      </c>
      <c r="G219" s="4"/>
      <c r="H219" s="4"/>
    </row>
    <row r="220" customFormat="false" ht="15.75" hidden="false" customHeight="false" outlineLevel="0" collapsed="false">
      <c r="B220" s="3" t="str">
        <f aca="false">IF(COUNTIF(Final_CB_B3_V5!$B$2:$B$496,A220)&gt;=1,"YES","NO")</f>
        <v>NO</v>
      </c>
      <c r="D220" s="3" t="str">
        <f aca="false">IF(COUNTIF(Final_CB_B3_V5!$C$2:$C$496,C220)&gt;=1,"YES","NO")</f>
        <v>NO</v>
      </c>
      <c r="G220" s="4"/>
      <c r="H220" s="4"/>
    </row>
    <row r="221" customFormat="false" ht="15.75" hidden="false" customHeight="false" outlineLevel="0" collapsed="false">
      <c r="B221" s="3" t="str">
        <f aca="false">IF(COUNTIF(Final_CB_B3_V5!$B$2:$B$496,A221)&gt;=1,"YES","NO")</f>
        <v>NO</v>
      </c>
      <c r="D221" s="3" t="str">
        <f aca="false">IF(COUNTIF(Final_CB_B3_V5!$C$2:$C$496,C221)&gt;=1,"YES","NO")</f>
        <v>NO</v>
      </c>
      <c r="G221" s="4"/>
      <c r="H221" s="4"/>
    </row>
    <row r="222" customFormat="false" ht="15.75" hidden="false" customHeight="false" outlineLevel="0" collapsed="false">
      <c r="B222" s="3" t="str">
        <f aca="false">IF(COUNTIF(Final_CB_B3_V5!$B$2:$B$496,A222)&gt;=1,"YES","NO")</f>
        <v>NO</v>
      </c>
      <c r="D222" s="3" t="str">
        <f aca="false">IF(COUNTIF(Final_CB_B3_V5!$C$2:$C$496,C222)&gt;=1,"YES","NO")</f>
        <v>NO</v>
      </c>
      <c r="G222" s="4"/>
      <c r="H222" s="4"/>
    </row>
    <row r="223" customFormat="false" ht="15.75" hidden="false" customHeight="false" outlineLevel="0" collapsed="false">
      <c r="B223" s="3" t="str">
        <f aca="false">IF(COUNTIF(Final_CB_B3_V5!$B$2:$B$496,A223)&gt;=1,"YES","NO")</f>
        <v>NO</v>
      </c>
      <c r="D223" s="3" t="str">
        <f aca="false">IF(COUNTIF(Final_CB_B3_V5!$C$2:$C$496,C223)&gt;=1,"YES","NO")</f>
        <v>NO</v>
      </c>
      <c r="G223" s="4"/>
      <c r="H223" s="4"/>
    </row>
    <row r="224" customFormat="false" ht="15.75" hidden="false" customHeight="false" outlineLevel="0" collapsed="false">
      <c r="B224" s="3" t="str">
        <f aca="false">IF(COUNTIF(Final_CB_B3_V5!$B$2:$B$496,A224)&gt;=1,"YES","NO")</f>
        <v>NO</v>
      </c>
      <c r="D224" s="3" t="str">
        <f aca="false">IF(COUNTIF(Final_CB_B3_V5!$C$2:$C$496,C224)&gt;=1,"YES","NO")</f>
        <v>NO</v>
      </c>
      <c r="G224" s="4"/>
      <c r="H224" s="4"/>
    </row>
    <row r="225" customFormat="false" ht="15.75" hidden="false" customHeight="false" outlineLevel="0" collapsed="false">
      <c r="B225" s="3" t="str">
        <f aca="false">IF(COUNTIF(Final_CB_B3_V5!$B$2:$B$496,A225)&gt;=1,"YES","NO")</f>
        <v>NO</v>
      </c>
      <c r="D225" s="3" t="str">
        <f aca="false">IF(COUNTIF(Final_CB_B3_V5!$C$2:$C$496,C225)&gt;=1,"YES","NO")</f>
        <v>NO</v>
      </c>
      <c r="G225" s="4"/>
      <c r="H225" s="4"/>
    </row>
    <row r="226" customFormat="false" ht="15.75" hidden="false" customHeight="false" outlineLevel="0" collapsed="false">
      <c r="B226" s="3" t="str">
        <f aca="false">IF(COUNTIF(Final_CB_B3_V5!$B$2:$B$496,A226)&gt;=1,"YES","NO")</f>
        <v>NO</v>
      </c>
      <c r="D226" s="3" t="str">
        <f aca="false">IF(COUNTIF(Final_CB_B3_V5!$C$2:$C$496,C226)&gt;=1,"YES","NO")</f>
        <v>NO</v>
      </c>
      <c r="G226" s="4"/>
      <c r="H226" s="4"/>
    </row>
    <row r="227" customFormat="false" ht="15.75" hidden="false" customHeight="false" outlineLevel="0" collapsed="false">
      <c r="B227" s="3" t="str">
        <f aca="false">IF(COUNTIF(Final_CB_B3_V5!$B$2:$B$496,A227)&gt;=1,"YES","NO")</f>
        <v>NO</v>
      </c>
      <c r="D227" s="3" t="str">
        <f aca="false">IF(COUNTIF(Final_CB_B3_V5!$C$2:$C$496,C227)&gt;=1,"YES","NO")</f>
        <v>NO</v>
      </c>
      <c r="G227" s="4"/>
      <c r="H227" s="4"/>
    </row>
    <row r="228" customFormat="false" ht="15.75" hidden="false" customHeight="false" outlineLevel="0" collapsed="false">
      <c r="B228" s="3" t="str">
        <f aca="false">IF(COUNTIF(Final_CB_B3_V5!$B$2:$B$496,A228)&gt;=1,"YES","NO")</f>
        <v>NO</v>
      </c>
      <c r="D228" s="3" t="str">
        <f aca="false">IF(COUNTIF(Final_CB_B3_V5!$C$2:$C$496,C228)&gt;=1,"YES","NO")</f>
        <v>NO</v>
      </c>
      <c r="G228" s="4"/>
      <c r="H228" s="4"/>
    </row>
    <row r="229" customFormat="false" ht="15.75" hidden="false" customHeight="false" outlineLevel="0" collapsed="false">
      <c r="B229" s="3" t="str">
        <f aca="false">IF(COUNTIF(Final_CB_B3_V5!$B$2:$B$496,A229)&gt;=1,"YES","NO")</f>
        <v>NO</v>
      </c>
      <c r="D229" s="3" t="str">
        <f aca="false">IF(COUNTIF(Final_CB_B3_V5!$C$2:$C$496,C229)&gt;=1,"YES","NO")</f>
        <v>NO</v>
      </c>
      <c r="G229" s="4"/>
      <c r="H229" s="4"/>
    </row>
    <row r="230" customFormat="false" ht="15.75" hidden="false" customHeight="false" outlineLevel="0" collapsed="false">
      <c r="B230" s="3" t="str">
        <f aca="false">IF(COUNTIF(Final_CB_B3_V5!$B$2:$B$496,A230)&gt;=1,"YES","NO")</f>
        <v>NO</v>
      </c>
      <c r="D230" s="3" t="str">
        <f aca="false">IF(COUNTIF(Final_CB_B3_V5!$C$2:$C$496,C230)&gt;=1,"YES","NO")</f>
        <v>NO</v>
      </c>
      <c r="G230" s="4"/>
      <c r="H230" s="4"/>
    </row>
    <row r="231" customFormat="false" ht="15.75" hidden="false" customHeight="false" outlineLevel="0" collapsed="false">
      <c r="B231" s="3" t="str">
        <f aca="false">IF(COUNTIF(Final_CB_B3_V5!$B$2:$B$496,A231)&gt;=1,"YES","NO")</f>
        <v>NO</v>
      </c>
      <c r="D231" s="3" t="str">
        <f aca="false">IF(COUNTIF(Final_CB_B3_V5!$C$2:$C$496,C231)&gt;=1,"YES","NO")</f>
        <v>NO</v>
      </c>
      <c r="G231" s="4"/>
      <c r="H231" s="4"/>
    </row>
    <row r="232" customFormat="false" ht="15.75" hidden="false" customHeight="false" outlineLevel="0" collapsed="false">
      <c r="B232" s="3" t="str">
        <f aca="false">IF(COUNTIF(Final_CB_B3_V5!$B$2:$B$496,A232)&gt;=1,"YES","NO")</f>
        <v>NO</v>
      </c>
      <c r="D232" s="3" t="str">
        <f aca="false">IF(COUNTIF(Final_CB_B3_V5!$C$2:$C$496,C232)&gt;=1,"YES","NO")</f>
        <v>NO</v>
      </c>
      <c r="G232" s="4"/>
      <c r="H232" s="4"/>
    </row>
    <row r="233" customFormat="false" ht="15.75" hidden="false" customHeight="false" outlineLevel="0" collapsed="false">
      <c r="B233" s="3" t="str">
        <f aca="false">IF(COUNTIF(Final_CB_B3_V5!$B$2:$B$496,A233)&gt;=1,"YES","NO")</f>
        <v>NO</v>
      </c>
      <c r="D233" s="3" t="str">
        <f aca="false">IF(COUNTIF(Final_CB_B3_V5!$C$2:$C$496,C233)&gt;=1,"YES","NO")</f>
        <v>NO</v>
      </c>
      <c r="G233" s="4"/>
      <c r="H233" s="4"/>
    </row>
    <row r="234" customFormat="false" ht="15.75" hidden="false" customHeight="false" outlineLevel="0" collapsed="false">
      <c r="B234" s="3" t="str">
        <f aca="false">IF(COUNTIF(Final_CB_B3_V5!$B$2:$B$496,A234)&gt;=1,"YES","NO")</f>
        <v>NO</v>
      </c>
      <c r="D234" s="3" t="str">
        <f aca="false">IF(COUNTIF(Final_CB_B3_V5!$C$2:$C$496,C234)&gt;=1,"YES","NO")</f>
        <v>NO</v>
      </c>
      <c r="G234" s="4"/>
      <c r="H234" s="4"/>
    </row>
    <row r="235" customFormat="false" ht="15.75" hidden="false" customHeight="false" outlineLevel="0" collapsed="false">
      <c r="B235" s="3" t="str">
        <f aca="false">IF(COUNTIF(Final_CB_B3_V5!$B$2:$B$496,A235)&gt;=1,"YES","NO")</f>
        <v>NO</v>
      </c>
      <c r="D235" s="3" t="str">
        <f aca="false">IF(COUNTIF(Final_CB_B3_V5!$C$2:$C$496,C235)&gt;=1,"YES","NO")</f>
        <v>NO</v>
      </c>
      <c r="G235" s="4"/>
      <c r="H235" s="4"/>
    </row>
    <row r="236" customFormat="false" ht="15.75" hidden="false" customHeight="false" outlineLevel="0" collapsed="false">
      <c r="B236" s="3" t="str">
        <f aca="false">IF(COUNTIF(Final_CB_B3_V5!$B$2:$B$496,A236)&gt;=1,"YES","NO")</f>
        <v>NO</v>
      </c>
      <c r="D236" s="3" t="str">
        <f aca="false">IF(COUNTIF(Final_CB_B3_V5!$C$2:$C$496,C236)&gt;=1,"YES","NO")</f>
        <v>NO</v>
      </c>
      <c r="G236" s="4"/>
      <c r="H236" s="4"/>
    </row>
    <row r="237" customFormat="false" ht="15.75" hidden="false" customHeight="false" outlineLevel="0" collapsed="false">
      <c r="B237" s="3" t="str">
        <f aca="false">IF(COUNTIF(Final_CB_B3_V5!$B$2:$B$496,A237)&gt;=1,"YES","NO")</f>
        <v>NO</v>
      </c>
      <c r="D237" s="3" t="str">
        <f aca="false">IF(COUNTIF(Final_CB_B3_V5!$C$2:$C$496,C237)&gt;=1,"YES","NO")</f>
        <v>NO</v>
      </c>
      <c r="G237" s="4"/>
      <c r="H237" s="4"/>
    </row>
    <row r="238" customFormat="false" ht="15.75" hidden="false" customHeight="false" outlineLevel="0" collapsed="false">
      <c r="B238" s="3" t="str">
        <f aca="false">IF(COUNTIF(Final_CB_B3_V5!$B$2:$B$496,A238)&gt;=1,"YES","NO")</f>
        <v>NO</v>
      </c>
      <c r="D238" s="3" t="str">
        <f aca="false">IF(COUNTIF(Final_CB_B3_V5!$C$2:$C$496,C238)&gt;=1,"YES","NO")</f>
        <v>NO</v>
      </c>
      <c r="G238" s="4"/>
      <c r="H238" s="4"/>
    </row>
    <row r="239" customFormat="false" ht="15.75" hidden="false" customHeight="false" outlineLevel="0" collapsed="false">
      <c r="B239" s="3" t="str">
        <f aca="false">IF(COUNTIF(Final_CB_B3_V5!$B$2:$B$496,A239)&gt;=1,"YES","NO")</f>
        <v>NO</v>
      </c>
      <c r="D239" s="3" t="str">
        <f aca="false">IF(COUNTIF(Final_CB_B3_V5!$C$2:$C$496,C239)&gt;=1,"YES","NO")</f>
        <v>NO</v>
      </c>
      <c r="G239" s="4"/>
      <c r="H239" s="4"/>
    </row>
    <row r="240" customFormat="false" ht="15.75" hidden="false" customHeight="false" outlineLevel="0" collapsed="false">
      <c r="B240" s="3" t="str">
        <f aca="false">IF(COUNTIF(Final_CB_B3_V5!$B$2:$B$496,A240)&gt;=1,"YES","NO")</f>
        <v>NO</v>
      </c>
      <c r="D240" s="3" t="str">
        <f aca="false">IF(COUNTIF(Final_CB_B3_V5!$C$2:$C$496,C240)&gt;=1,"YES","NO")</f>
        <v>NO</v>
      </c>
      <c r="G240" s="4"/>
      <c r="H240" s="4"/>
    </row>
    <row r="241" customFormat="false" ht="15.75" hidden="false" customHeight="false" outlineLevel="0" collapsed="false">
      <c r="B241" s="3" t="str">
        <f aca="false">IF(COUNTIF(Final_CB_B3_V5!$B$2:$B$496,A241)&gt;=1,"YES","NO")</f>
        <v>NO</v>
      </c>
      <c r="D241" s="3" t="str">
        <f aca="false">IF(COUNTIF(Final_CB_B3_V5!$C$2:$C$496,C241)&gt;=1,"YES","NO")</f>
        <v>NO</v>
      </c>
      <c r="G241" s="4"/>
      <c r="H241" s="4"/>
    </row>
    <row r="242" customFormat="false" ht="15.75" hidden="false" customHeight="false" outlineLevel="0" collapsed="false">
      <c r="B242" s="3" t="str">
        <f aca="false">IF(COUNTIF(Final_CB_B3_V5!$B$2:$B$496,A242)&gt;=1,"YES","NO")</f>
        <v>NO</v>
      </c>
      <c r="D242" s="3" t="str">
        <f aca="false">IF(COUNTIF(Final_CB_B3_V5!$C$2:$C$496,C242)&gt;=1,"YES","NO")</f>
        <v>NO</v>
      </c>
      <c r="G242" s="4"/>
      <c r="H242" s="4"/>
    </row>
    <row r="243" customFormat="false" ht="15.75" hidden="false" customHeight="false" outlineLevel="0" collapsed="false">
      <c r="B243" s="3" t="str">
        <f aca="false">IF(COUNTIF(Final_CB_B3_V5!$B$2:$B$496,A243)&gt;=1,"YES","NO")</f>
        <v>NO</v>
      </c>
      <c r="D243" s="3" t="str">
        <f aca="false">IF(COUNTIF(Final_CB_B3_V5!$C$2:$C$496,C243)&gt;=1,"YES","NO")</f>
        <v>NO</v>
      </c>
      <c r="G243" s="4"/>
      <c r="H243" s="4"/>
    </row>
    <row r="244" customFormat="false" ht="15.75" hidden="false" customHeight="false" outlineLevel="0" collapsed="false">
      <c r="B244" s="3" t="str">
        <f aca="false">IF(COUNTIF(Final_CB_B3_V5!$B$2:$B$496,A244)&gt;=1,"YES","NO")</f>
        <v>NO</v>
      </c>
      <c r="D244" s="3" t="str">
        <f aca="false">IF(COUNTIF(Final_CB_B3_V5!$C$2:$C$496,C244)&gt;=1,"YES","NO")</f>
        <v>NO</v>
      </c>
      <c r="G244" s="4"/>
      <c r="H244" s="4"/>
    </row>
    <row r="245" customFormat="false" ht="15.75" hidden="false" customHeight="false" outlineLevel="0" collapsed="false">
      <c r="B245" s="3" t="str">
        <f aca="false">IF(COUNTIF(Final_CB_B3_V5!$B$2:$B$496,A245)&gt;=1,"YES","NO")</f>
        <v>NO</v>
      </c>
      <c r="D245" s="3" t="str">
        <f aca="false">IF(COUNTIF(Final_CB_B3_V5!$C$2:$C$496,C245)&gt;=1,"YES","NO")</f>
        <v>NO</v>
      </c>
      <c r="G245" s="4"/>
      <c r="H245" s="4"/>
    </row>
    <row r="246" customFormat="false" ht="15.75" hidden="false" customHeight="false" outlineLevel="0" collapsed="false">
      <c r="B246" s="3" t="str">
        <f aca="false">IF(COUNTIF(Final_CB_B3_V5!$B$2:$B$496,A246)&gt;=1,"YES","NO")</f>
        <v>NO</v>
      </c>
      <c r="D246" s="3" t="str">
        <f aca="false">IF(COUNTIF(Final_CB_B3_V5!$C$2:$C$496,C246)&gt;=1,"YES","NO")</f>
        <v>NO</v>
      </c>
      <c r="G246" s="4"/>
      <c r="H246" s="4"/>
    </row>
    <row r="247" customFormat="false" ht="15.75" hidden="false" customHeight="false" outlineLevel="0" collapsed="false">
      <c r="B247" s="3" t="str">
        <f aca="false">IF(COUNTIF(Final_CB_B3_V5!$B$2:$B$496,A247)&gt;=1,"YES","NO")</f>
        <v>NO</v>
      </c>
      <c r="D247" s="3" t="str">
        <f aca="false">IF(COUNTIF(Final_CB_B3_V5!$C$2:$C$496,C247)&gt;=1,"YES","NO")</f>
        <v>NO</v>
      </c>
      <c r="G247" s="4"/>
      <c r="H247" s="4"/>
    </row>
    <row r="248" customFormat="false" ht="15.75" hidden="false" customHeight="false" outlineLevel="0" collapsed="false">
      <c r="B248" s="3" t="str">
        <f aca="false">IF(COUNTIF(Final_CB_B3_V5!$B$2:$B$496,A248)&gt;=1,"YES","NO")</f>
        <v>NO</v>
      </c>
      <c r="D248" s="3" t="str">
        <f aca="false">IF(COUNTIF(Final_CB_B3_V5!$C$2:$C$496,C248)&gt;=1,"YES","NO")</f>
        <v>NO</v>
      </c>
      <c r="G248" s="4"/>
      <c r="H248" s="4"/>
    </row>
    <row r="249" customFormat="false" ht="15.75" hidden="false" customHeight="false" outlineLevel="0" collapsed="false">
      <c r="B249" s="3" t="str">
        <f aca="false">IF(COUNTIF(Final_CB_B3_V5!$B$2:$B$496,A249)&gt;=1,"YES","NO")</f>
        <v>NO</v>
      </c>
      <c r="D249" s="3" t="str">
        <f aca="false">IF(COUNTIF(Final_CB_B3_V5!$C$2:$C$496,C249)&gt;=1,"YES","NO")</f>
        <v>NO</v>
      </c>
      <c r="G249" s="4"/>
      <c r="H249" s="4"/>
    </row>
    <row r="250" customFormat="false" ht="15.75" hidden="false" customHeight="false" outlineLevel="0" collapsed="false">
      <c r="B250" s="3" t="str">
        <f aca="false">IF(COUNTIF(Final_CB_B3_V5!$B$2:$B$496,A250)&gt;=1,"YES","NO")</f>
        <v>NO</v>
      </c>
      <c r="D250" s="3" t="str">
        <f aca="false">IF(COUNTIF(Final_CB_B3_V5!$C$2:$C$496,C250)&gt;=1,"YES","NO")</f>
        <v>NO</v>
      </c>
      <c r="G250" s="4"/>
      <c r="H250" s="4"/>
    </row>
    <row r="251" customFormat="false" ht="15.75" hidden="false" customHeight="false" outlineLevel="0" collapsed="false">
      <c r="B251" s="3" t="str">
        <f aca="false">IF(COUNTIF(Final_CB_B3_V5!$B$2:$B$496,A251)&gt;=1,"YES","NO")</f>
        <v>NO</v>
      </c>
      <c r="D251" s="3" t="str">
        <f aca="false">IF(COUNTIF(Final_CB_B3_V5!$C$2:$C$496,C251)&gt;=1,"YES","NO")</f>
        <v>NO</v>
      </c>
      <c r="G251" s="4"/>
      <c r="H251" s="4"/>
    </row>
    <row r="252" customFormat="false" ht="15.75" hidden="false" customHeight="false" outlineLevel="0" collapsed="false">
      <c r="B252" s="3" t="str">
        <f aca="false">IF(COUNTIF(Final_CB_B3_V5!$B$2:$B$496,A252)&gt;=1,"YES","NO")</f>
        <v>NO</v>
      </c>
      <c r="D252" s="3" t="str">
        <f aca="false">IF(COUNTIF(Final_CB_B3_V5!$C$2:$C$496,C252)&gt;=1,"YES","NO")</f>
        <v>NO</v>
      </c>
      <c r="G252" s="4"/>
      <c r="H252" s="4"/>
    </row>
    <row r="253" customFormat="false" ht="15.75" hidden="false" customHeight="false" outlineLevel="0" collapsed="false">
      <c r="B253" s="3" t="str">
        <f aca="false">IF(COUNTIF(Final_CB_B3_V5!$B$2:$B$496,A253)&gt;=1,"YES","NO")</f>
        <v>NO</v>
      </c>
      <c r="D253" s="3" t="str">
        <f aca="false">IF(COUNTIF(Final_CB_B3_V5!$C$2:$C$496,C253)&gt;=1,"YES","NO")</f>
        <v>NO</v>
      </c>
      <c r="G253" s="4"/>
      <c r="H253" s="4"/>
    </row>
    <row r="254" customFormat="false" ht="15.75" hidden="false" customHeight="false" outlineLevel="0" collapsed="false">
      <c r="B254" s="3" t="str">
        <f aca="false">IF(COUNTIF(Final_CB_B3_V5!$B$2:$B$496,A254)&gt;=1,"YES","NO")</f>
        <v>NO</v>
      </c>
      <c r="D254" s="3" t="str">
        <f aca="false">IF(COUNTIF(Final_CB_B3_V5!$C$2:$C$496,C254)&gt;=1,"YES","NO")</f>
        <v>NO</v>
      </c>
      <c r="G254" s="4"/>
      <c r="H254" s="4"/>
    </row>
    <row r="255" customFormat="false" ht="15.75" hidden="false" customHeight="false" outlineLevel="0" collapsed="false">
      <c r="B255" s="3" t="str">
        <f aca="false">IF(COUNTIF(Final_CB_B3_V5!$B$2:$B$496,A255)&gt;=1,"YES","NO")</f>
        <v>NO</v>
      </c>
      <c r="D255" s="3" t="str">
        <f aca="false">IF(COUNTIF(Final_CB_B3_V5!$C$2:$C$496,C255)&gt;=1,"YES","NO")</f>
        <v>NO</v>
      </c>
      <c r="G255" s="4"/>
      <c r="H255" s="4"/>
    </row>
    <row r="256" customFormat="false" ht="15.75" hidden="false" customHeight="false" outlineLevel="0" collapsed="false">
      <c r="B256" s="3" t="str">
        <f aca="false">IF(COUNTIF(Final_CB_B3_V5!$B$2:$B$496,A256)&gt;=1,"YES","NO")</f>
        <v>NO</v>
      </c>
      <c r="D256" s="3" t="str">
        <f aca="false">IF(COUNTIF(Final_CB_B3_V5!$C$2:$C$496,C256)&gt;=1,"YES","NO")</f>
        <v>NO</v>
      </c>
      <c r="G256" s="4"/>
      <c r="H256" s="4"/>
    </row>
    <row r="257" customFormat="false" ht="15.75" hidden="false" customHeight="false" outlineLevel="0" collapsed="false">
      <c r="B257" s="3" t="str">
        <f aca="false">IF(COUNTIF(Final_CB_B3_V5!$B$2:$B$496,A257)&gt;=1,"YES","NO")</f>
        <v>NO</v>
      </c>
      <c r="D257" s="3" t="str">
        <f aca="false">IF(COUNTIF(Final_CB_B3_V5!$C$2:$C$496,C257)&gt;=1,"YES","NO")</f>
        <v>NO</v>
      </c>
      <c r="G257" s="4"/>
      <c r="H257" s="4"/>
    </row>
    <row r="258" customFormat="false" ht="15.75" hidden="false" customHeight="false" outlineLevel="0" collapsed="false">
      <c r="B258" s="3" t="str">
        <f aca="false">IF(COUNTIF(Final_CB_B3_V5!$B$2:$B$496,A258)&gt;=1,"YES","NO")</f>
        <v>NO</v>
      </c>
      <c r="D258" s="3" t="str">
        <f aca="false">IF(COUNTIF(Final_CB_B3_V5!$C$2:$C$496,C258)&gt;=1,"YES","NO")</f>
        <v>NO</v>
      </c>
      <c r="G258" s="4"/>
      <c r="H258" s="4"/>
    </row>
    <row r="259" customFormat="false" ht="15.75" hidden="false" customHeight="false" outlineLevel="0" collapsed="false">
      <c r="B259" s="3" t="str">
        <f aca="false">IF(COUNTIF(Final_CB_B3_V5!$B$2:$B$496,A259)&gt;=1,"YES","NO")</f>
        <v>NO</v>
      </c>
      <c r="D259" s="3" t="str">
        <f aca="false">IF(COUNTIF(Final_CB_B3_V5!$C$2:$C$496,C259)&gt;=1,"YES","NO")</f>
        <v>NO</v>
      </c>
      <c r="G259" s="4"/>
      <c r="H259" s="4"/>
    </row>
    <row r="260" customFormat="false" ht="15.75" hidden="false" customHeight="false" outlineLevel="0" collapsed="false">
      <c r="B260" s="3" t="str">
        <f aca="false">IF(COUNTIF(Final_CB_B3_V5!$B$2:$B$496,A260)&gt;=1,"YES","NO")</f>
        <v>NO</v>
      </c>
      <c r="D260" s="3" t="str">
        <f aca="false">IF(COUNTIF(Final_CB_B3_V5!$C$2:$C$496,C260)&gt;=1,"YES","NO")</f>
        <v>NO</v>
      </c>
      <c r="G260" s="4"/>
      <c r="H260" s="4"/>
    </row>
    <row r="261" customFormat="false" ht="15.75" hidden="false" customHeight="false" outlineLevel="0" collapsed="false">
      <c r="B261" s="3" t="str">
        <f aca="false">IF(COUNTIF(Final_CB_B3_V5!$B$2:$B$496,A261)&gt;=1,"YES","NO")</f>
        <v>NO</v>
      </c>
      <c r="D261" s="3" t="str">
        <f aca="false">IF(COUNTIF(Final_CB_B3_V5!$C$2:$C$496,C261)&gt;=1,"YES","NO")</f>
        <v>NO</v>
      </c>
      <c r="G261" s="4"/>
      <c r="H261" s="4"/>
    </row>
    <row r="262" customFormat="false" ht="15.75" hidden="false" customHeight="false" outlineLevel="0" collapsed="false">
      <c r="B262" s="3" t="str">
        <f aca="false">IF(COUNTIF(Final_CB_B3_V5!$B$2:$B$496,A262)&gt;=1,"YES","NO")</f>
        <v>NO</v>
      </c>
      <c r="D262" s="3" t="str">
        <f aca="false">IF(COUNTIF(Final_CB_B3_V5!$C$2:$C$496,C262)&gt;=1,"YES","NO")</f>
        <v>NO</v>
      </c>
      <c r="G262" s="4"/>
      <c r="H262" s="4"/>
    </row>
    <row r="263" customFormat="false" ht="15.75" hidden="false" customHeight="false" outlineLevel="0" collapsed="false">
      <c r="B263" s="3" t="str">
        <f aca="false">IF(COUNTIF(Final_CB_B3_V5!$B$2:$B$496,A263)&gt;=1,"YES","NO")</f>
        <v>NO</v>
      </c>
      <c r="D263" s="3" t="str">
        <f aca="false">IF(COUNTIF(Final_CB_B3_V5!$C$2:$C$496,C263)&gt;=1,"YES","NO")</f>
        <v>NO</v>
      </c>
      <c r="G263" s="4"/>
      <c r="H263" s="4"/>
    </row>
    <row r="264" customFormat="false" ht="15.75" hidden="false" customHeight="false" outlineLevel="0" collapsed="false">
      <c r="B264" s="3" t="str">
        <f aca="false">IF(COUNTIF(Final_CB_B3_V5!$B$2:$B$496,A264)&gt;=1,"YES","NO")</f>
        <v>NO</v>
      </c>
      <c r="D264" s="3" t="str">
        <f aca="false">IF(COUNTIF(Final_CB_B3_V5!$C$2:$C$496,C264)&gt;=1,"YES","NO")</f>
        <v>NO</v>
      </c>
      <c r="G264" s="4"/>
      <c r="H264" s="4"/>
    </row>
    <row r="265" customFormat="false" ht="15.75" hidden="false" customHeight="false" outlineLevel="0" collapsed="false">
      <c r="B265" s="3" t="str">
        <f aca="false">IF(COUNTIF(Final_CB_B3_V5!$B$2:$B$496,A265)&gt;=1,"YES","NO")</f>
        <v>NO</v>
      </c>
      <c r="D265" s="3" t="str">
        <f aca="false">IF(COUNTIF(Final_CB_B3_V5!$C$2:$C$496,C265)&gt;=1,"YES","NO")</f>
        <v>NO</v>
      </c>
      <c r="G265" s="4"/>
      <c r="H265" s="4"/>
    </row>
    <row r="266" customFormat="false" ht="15.75" hidden="false" customHeight="false" outlineLevel="0" collapsed="false">
      <c r="B266" s="3" t="str">
        <f aca="false">IF(COUNTIF(Final_CB_B3_V5!$B$2:$B$496,A266)&gt;=1,"YES","NO")</f>
        <v>NO</v>
      </c>
      <c r="D266" s="3" t="str">
        <f aca="false">IF(COUNTIF(Final_CB_B3_V5!$C$2:$C$496,C266)&gt;=1,"YES","NO")</f>
        <v>NO</v>
      </c>
      <c r="G266" s="4"/>
      <c r="H266" s="4"/>
    </row>
    <row r="267" customFormat="false" ht="15.75" hidden="false" customHeight="false" outlineLevel="0" collapsed="false">
      <c r="B267" s="3" t="str">
        <f aca="false">IF(COUNTIF(Final_CB_B3_V5!$B$2:$B$496,A267)&gt;=1,"YES","NO")</f>
        <v>NO</v>
      </c>
      <c r="D267" s="3" t="str">
        <f aca="false">IF(COUNTIF(Final_CB_B3_V5!$C$2:$C$496,C267)&gt;=1,"YES","NO")</f>
        <v>NO</v>
      </c>
      <c r="G267" s="4"/>
      <c r="H267" s="4"/>
    </row>
    <row r="268" customFormat="false" ht="15.75" hidden="false" customHeight="false" outlineLevel="0" collapsed="false">
      <c r="B268" s="3" t="str">
        <f aca="false">IF(COUNTIF(Final_CB_B3_V5!$B$2:$B$496,A268)&gt;=1,"YES","NO")</f>
        <v>NO</v>
      </c>
      <c r="D268" s="3" t="str">
        <f aca="false">IF(COUNTIF(Final_CB_B3_V5!$C$2:$C$496,C268)&gt;=1,"YES","NO")</f>
        <v>NO</v>
      </c>
      <c r="G268" s="4"/>
      <c r="H268" s="4"/>
    </row>
    <row r="269" customFormat="false" ht="15.75" hidden="false" customHeight="false" outlineLevel="0" collapsed="false">
      <c r="B269" s="3" t="str">
        <f aca="false">IF(COUNTIF(Final_CB_B3_V5!$B$2:$B$496,A269)&gt;=1,"YES","NO")</f>
        <v>NO</v>
      </c>
      <c r="D269" s="3" t="str">
        <f aca="false">IF(COUNTIF(Final_CB_B3_V5!$C$2:$C$496,C269)&gt;=1,"YES","NO")</f>
        <v>NO</v>
      </c>
      <c r="G269" s="4"/>
      <c r="H269" s="4"/>
    </row>
    <row r="270" customFormat="false" ht="15.75" hidden="false" customHeight="false" outlineLevel="0" collapsed="false">
      <c r="B270" s="3" t="str">
        <f aca="false">IF(COUNTIF(Final_CB_B3_V5!$B$2:$B$496,A270)&gt;=1,"YES","NO")</f>
        <v>NO</v>
      </c>
      <c r="D270" s="3" t="str">
        <f aca="false">IF(COUNTIF(Final_CB_B3_V5!$C$2:$C$496,C270)&gt;=1,"YES","NO")</f>
        <v>NO</v>
      </c>
      <c r="G270" s="4"/>
      <c r="H270" s="4"/>
    </row>
    <row r="271" customFormat="false" ht="15.75" hidden="false" customHeight="false" outlineLevel="0" collapsed="false">
      <c r="B271" s="3" t="str">
        <f aca="false">IF(COUNTIF(Final_CB_B3_V5!$B$2:$B$496,A271)&gt;=1,"YES","NO")</f>
        <v>NO</v>
      </c>
      <c r="D271" s="3" t="str">
        <f aca="false">IF(COUNTIF(Final_CB_B3_V5!$C$2:$C$496,C271)&gt;=1,"YES","NO")</f>
        <v>NO</v>
      </c>
      <c r="G271" s="4"/>
      <c r="H271" s="4"/>
    </row>
    <row r="272" customFormat="false" ht="15.75" hidden="false" customHeight="false" outlineLevel="0" collapsed="false">
      <c r="B272" s="3" t="str">
        <f aca="false">IF(COUNTIF(Final_CB_B3_V5!$B$2:$B$496,A272)&gt;=1,"YES","NO")</f>
        <v>NO</v>
      </c>
      <c r="D272" s="3" t="str">
        <f aca="false">IF(COUNTIF(Final_CB_B3_V5!$C$2:$C$496,C272)&gt;=1,"YES","NO")</f>
        <v>NO</v>
      </c>
      <c r="G272" s="4"/>
      <c r="H272" s="4"/>
    </row>
    <row r="273" customFormat="false" ht="15.75" hidden="false" customHeight="false" outlineLevel="0" collapsed="false">
      <c r="B273" s="3" t="str">
        <f aca="false">IF(COUNTIF(Final_CB_B3_V5!$B$2:$B$496,A273)&gt;=1,"YES","NO")</f>
        <v>NO</v>
      </c>
      <c r="D273" s="3" t="str">
        <f aca="false">IF(COUNTIF(Final_CB_B3_V5!$C$2:$C$496,C273)&gt;=1,"YES","NO")</f>
        <v>NO</v>
      </c>
      <c r="G273" s="4"/>
      <c r="H273" s="4"/>
    </row>
    <row r="274" customFormat="false" ht="15.75" hidden="false" customHeight="false" outlineLevel="0" collapsed="false">
      <c r="B274" s="3" t="str">
        <f aca="false">IF(COUNTIF(Final_CB_B3_V5!$B$2:$B$496,A274)&gt;=1,"YES","NO")</f>
        <v>NO</v>
      </c>
      <c r="D274" s="3" t="str">
        <f aca="false">IF(COUNTIF(Final_CB_B3_V5!$C$2:$C$496,C274)&gt;=1,"YES","NO")</f>
        <v>NO</v>
      </c>
      <c r="G274" s="4"/>
      <c r="H274" s="4"/>
    </row>
    <row r="275" customFormat="false" ht="15.75" hidden="false" customHeight="false" outlineLevel="0" collapsed="false">
      <c r="B275" s="3" t="str">
        <f aca="false">IF(COUNTIF(Final_CB_B3_V5!$B$2:$B$496,A275)&gt;=1,"YES","NO")</f>
        <v>NO</v>
      </c>
      <c r="D275" s="3" t="str">
        <f aca="false">IF(COUNTIF(Final_CB_B3_V5!$C$2:$C$496,C275)&gt;=1,"YES","NO")</f>
        <v>NO</v>
      </c>
      <c r="G275" s="4"/>
      <c r="H275" s="4"/>
    </row>
    <row r="276" customFormat="false" ht="15.75" hidden="false" customHeight="false" outlineLevel="0" collapsed="false">
      <c r="B276" s="3" t="str">
        <f aca="false">IF(COUNTIF(Final_CB_B3_V5!$B$2:$B$496,A276)&gt;=1,"YES","NO")</f>
        <v>NO</v>
      </c>
      <c r="D276" s="3" t="str">
        <f aca="false">IF(COUNTIF(Final_CB_B3_V5!$C$2:$C$496,C276)&gt;=1,"YES","NO")</f>
        <v>NO</v>
      </c>
      <c r="G276" s="4"/>
      <c r="H276" s="4"/>
    </row>
    <row r="277" customFormat="false" ht="15.75" hidden="false" customHeight="false" outlineLevel="0" collapsed="false">
      <c r="B277" s="3" t="str">
        <f aca="false">IF(COUNTIF(Final_CB_B3_V5!$B$2:$B$496,A277)&gt;=1,"YES","NO")</f>
        <v>NO</v>
      </c>
      <c r="D277" s="3" t="str">
        <f aca="false">IF(COUNTIF(Final_CB_B3_V5!$C$2:$C$496,C277)&gt;=1,"YES","NO")</f>
        <v>NO</v>
      </c>
      <c r="G277" s="4"/>
      <c r="H277" s="4"/>
    </row>
    <row r="278" customFormat="false" ht="15.75" hidden="false" customHeight="false" outlineLevel="0" collapsed="false">
      <c r="B278" s="3" t="str">
        <f aca="false">IF(COUNTIF(Final_CB_B3_V5!$B$2:$B$496,A278)&gt;=1,"YES","NO")</f>
        <v>NO</v>
      </c>
      <c r="D278" s="3" t="str">
        <f aca="false">IF(COUNTIF(Final_CB_B3_V5!$C$2:$C$496,C278)&gt;=1,"YES","NO")</f>
        <v>NO</v>
      </c>
      <c r="G278" s="4"/>
      <c r="H278" s="4"/>
    </row>
    <row r="279" customFormat="false" ht="15.75" hidden="false" customHeight="false" outlineLevel="0" collapsed="false">
      <c r="B279" s="3" t="str">
        <f aca="false">IF(COUNTIF(Final_CB_B3_V5!$B$2:$B$496,A279)&gt;=1,"YES","NO")</f>
        <v>NO</v>
      </c>
      <c r="D279" s="3" t="str">
        <f aca="false">IF(COUNTIF(Final_CB_B3_V5!$C$2:$C$496,C279)&gt;=1,"YES","NO")</f>
        <v>NO</v>
      </c>
      <c r="G279" s="4"/>
      <c r="H279" s="4"/>
    </row>
    <row r="280" customFormat="false" ht="15.75" hidden="false" customHeight="false" outlineLevel="0" collapsed="false">
      <c r="B280" s="3" t="str">
        <f aca="false">IF(COUNTIF(Final_CB_B3_V5!$B$2:$B$496,A280)&gt;=1,"YES","NO")</f>
        <v>NO</v>
      </c>
      <c r="D280" s="3" t="str">
        <f aca="false">IF(COUNTIF(Final_CB_B3_V5!$C$2:$C$496,C280)&gt;=1,"YES","NO")</f>
        <v>NO</v>
      </c>
      <c r="G280" s="4"/>
      <c r="H280" s="4"/>
    </row>
    <row r="281" customFormat="false" ht="15.75" hidden="false" customHeight="false" outlineLevel="0" collapsed="false">
      <c r="B281" s="3" t="str">
        <f aca="false">IF(COUNTIF(Final_CB_B3_V5!$B$2:$B$496,A281)&gt;=1,"YES","NO")</f>
        <v>NO</v>
      </c>
      <c r="D281" s="3" t="str">
        <f aca="false">IF(COUNTIF(Final_CB_B3_V5!$C$2:$C$496,C281)&gt;=1,"YES","NO")</f>
        <v>NO</v>
      </c>
      <c r="G281" s="4"/>
      <c r="H281" s="4"/>
    </row>
    <row r="282" customFormat="false" ht="15.75" hidden="false" customHeight="false" outlineLevel="0" collapsed="false">
      <c r="B282" s="3" t="str">
        <f aca="false">IF(COUNTIF(Final_CB_B3_V5!$B$2:$B$496,A282)&gt;=1,"YES","NO")</f>
        <v>NO</v>
      </c>
      <c r="D282" s="3" t="str">
        <f aca="false">IF(COUNTIF(Final_CB_B3_V5!$C$2:$C$496,C282)&gt;=1,"YES","NO")</f>
        <v>NO</v>
      </c>
      <c r="G282" s="4"/>
      <c r="H282" s="4"/>
    </row>
    <row r="283" customFormat="false" ht="15.75" hidden="false" customHeight="false" outlineLevel="0" collapsed="false">
      <c r="B283" s="3" t="str">
        <f aca="false">IF(COUNTIF(Final_CB_B3_V5!$B$2:$B$496,A283)&gt;=1,"YES","NO")</f>
        <v>NO</v>
      </c>
      <c r="D283" s="3" t="str">
        <f aca="false">IF(COUNTIF(Final_CB_B3_V5!$C$2:$C$496,C283)&gt;=1,"YES","NO")</f>
        <v>NO</v>
      </c>
      <c r="G283" s="4"/>
      <c r="H283" s="4"/>
    </row>
    <row r="284" customFormat="false" ht="15.75" hidden="false" customHeight="false" outlineLevel="0" collapsed="false">
      <c r="B284" s="3" t="str">
        <f aca="false">IF(COUNTIF(Final_CB_B3_V5!$B$2:$B$496,A284)&gt;=1,"YES","NO")</f>
        <v>NO</v>
      </c>
      <c r="D284" s="3" t="str">
        <f aca="false">IF(COUNTIF(Final_CB_B3_V5!$C$2:$C$496,C284)&gt;=1,"YES","NO")</f>
        <v>NO</v>
      </c>
      <c r="G284" s="4"/>
      <c r="H284" s="4"/>
    </row>
    <row r="285" customFormat="false" ht="15.75" hidden="false" customHeight="false" outlineLevel="0" collapsed="false">
      <c r="B285" s="3" t="str">
        <f aca="false">IF(COUNTIF(Final_CB_B3_V5!$B$2:$B$496,A285)&gt;=1,"YES","NO")</f>
        <v>NO</v>
      </c>
      <c r="D285" s="3" t="str">
        <f aca="false">IF(COUNTIF(Final_CB_B3_V5!$C$2:$C$496,C285)&gt;=1,"YES","NO")</f>
        <v>NO</v>
      </c>
      <c r="G285" s="4"/>
      <c r="H285" s="4"/>
    </row>
    <row r="286" customFormat="false" ht="15.75" hidden="false" customHeight="false" outlineLevel="0" collapsed="false">
      <c r="B286" s="3" t="str">
        <f aca="false">IF(COUNTIF(Final_CB_B3_V5!$B$2:$B$496,A286)&gt;=1,"YES","NO")</f>
        <v>NO</v>
      </c>
      <c r="D286" s="3" t="str">
        <f aca="false">IF(COUNTIF(Final_CB_B3_V5!$C$2:$C$496,C286)&gt;=1,"YES","NO")</f>
        <v>NO</v>
      </c>
      <c r="G286" s="4"/>
      <c r="H286" s="4"/>
    </row>
    <row r="287" customFormat="false" ht="15.75" hidden="false" customHeight="false" outlineLevel="0" collapsed="false">
      <c r="B287" s="3" t="str">
        <f aca="false">IF(COUNTIF(Final_CB_B3_V5!$B$2:$B$496,A287)&gt;=1,"YES","NO")</f>
        <v>NO</v>
      </c>
      <c r="D287" s="3" t="str">
        <f aca="false">IF(COUNTIF(Final_CB_B3_V5!$C$2:$C$496,C287)&gt;=1,"YES","NO")</f>
        <v>NO</v>
      </c>
      <c r="G287" s="4"/>
      <c r="H287" s="4"/>
    </row>
    <row r="288" customFormat="false" ht="15.75" hidden="false" customHeight="false" outlineLevel="0" collapsed="false">
      <c r="B288" s="3" t="str">
        <f aca="false">IF(COUNTIF(Final_CB_B3_V5!$B$2:$B$496,A288)&gt;=1,"YES","NO")</f>
        <v>NO</v>
      </c>
      <c r="D288" s="3" t="str">
        <f aca="false">IF(COUNTIF(Final_CB_B3_V5!$C$2:$C$496,C288)&gt;=1,"YES","NO")</f>
        <v>NO</v>
      </c>
      <c r="G288" s="4"/>
      <c r="H288" s="4"/>
    </row>
    <row r="289" customFormat="false" ht="15.75" hidden="false" customHeight="false" outlineLevel="0" collapsed="false">
      <c r="B289" s="3" t="str">
        <f aca="false">IF(COUNTIF(Final_CB_B3_V5!$B$2:$B$496,A289)&gt;=1,"YES","NO")</f>
        <v>NO</v>
      </c>
      <c r="D289" s="3" t="str">
        <f aca="false">IF(COUNTIF(Final_CB_B3_V5!$C$2:$C$496,C289)&gt;=1,"YES","NO")</f>
        <v>NO</v>
      </c>
      <c r="G289" s="4"/>
      <c r="H289" s="4"/>
    </row>
    <row r="290" customFormat="false" ht="15.75" hidden="false" customHeight="false" outlineLevel="0" collapsed="false">
      <c r="B290" s="3" t="str">
        <f aca="false">IF(COUNTIF(Final_CB_B3_V5!$B$2:$B$496,A290)&gt;=1,"YES","NO")</f>
        <v>NO</v>
      </c>
      <c r="D290" s="3" t="str">
        <f aca="false">IF(COUNTIF(Final_CB_B3_V5!$C$2:$C$496,C290)&gt;=1,"YES","NO")</f>
        <v>NO</v>
      </c>
      <c r="G290" s="4"/>
      <c r="H290" s="4"/>
    </row>
    <row r="291" customFormat="false" ht="15.75" hidden="false" customHeight="false" outlineLevel="0" collapsed="false">
      <c r="B291" s="3" t="str">
        <f aca="false">IF(COUNTIF(Final_CB_B3_V5!$B$2:$B$496,A291)&gt;=1,"YES","NO")</f>
        <v>NO</v>
      </c>
      <c r="D291" s="3" t="str">
        <f aca="false">IF(COUNTIF(Final_CB_B3_V5!$C$2:$C$496,C291)&gt;=1,"YES","NO")</f>
        <v>NO</v>
      </c>
      <c r="G291" s="4"/>
      <c r="H291" s="4"/>
    </row>
    <row r="292" customFormat="false" ht="15.75" hidden="false" customHeight="false" outlineLevel="0" collapsed="false">
      <c r="B292" s="3" t="str">
        <f aca="false">IF(COUNTIF(Final_CB_B3_V5!$B$2:$B$496,A292)&gt;=1,"YES","NO")</f>
        <v>NO</v>
      </c>
      <c r="D292" s="3" t="str">
        <f aca="false">IF(COUNTIF(Final_CB_B3_V5!$C$2:$C$496,C292)&gt;=1,"YES","NO")</f>
        <v>NO</v>
      </c>
      <c r="G292" s="4"/>
      <c r="H292" s="4"/>
    </row>
    <row r="293" customFormat="false" ht="15.75" hidden="false" customHeight="false" outlineLevel="0" collapsed="false">
      <c r="B293" s="3" t="str">
        <f aca="false">IF(COUNTIF(Final_CB_B3_V5!$B$2:$B$496,A293)&gt;=1,"YES","NO")</f>
        <v>NO</v>
      </c>
      <c r="D293" s="3" t="str">
        <f aca="false">IF(COUNTIF(Final_CB_B3_V5!$C$2:$C$496,C293)&gt;=1,"YES","NO")</f>
        <v>NO</v>
      </c>
      <c r="G293" s="4"/>
      <c r="H293" s="4"/>
    </row>
    <row r="294" customFormat="false" ht="15.75" hidden="false" customHeight="false" outlineLevel="0" collapsed="false">
      <c r="B294" s="3" t="str">
        <f aca="false">IF(COUNTIF(Final_CB_B3_V5!$B$2:$B$496,A294)&gt;=1,"YES","NO")</f>
        <v>NO</v>
      </c>
      <c r="D294" s="3" t="str">
        <f aca="false">IF(COUNTIF(Final_CB_B3_V5!$C$2:$C$496,C294)&gt;=1,"YES","NO")</f>
        <v>NO</v>
      </c>
      <c r="G294" s="4"/>
      <c r="H294" s="4"/>
    </row>
    <row r="295" customFormat="false" ht="15.75" hidden="false" customHeight="false" outlineLevel="0" collapsed="false">
      <c r="B295" s="3" t="str">
        <f aca="false">IF(COUNTIF(Final_CB_B3_V5!$B$2:$B$496,A295)&gt;=1,"YES","NO")</f>
        <v>NO</v>
      </c>
      <c r="D295" s="3" t="str">
        <f aca="false">IF(COUNTIF(Final_CB_B3_V5!$C$2:$C$496,C295)&gt;=1,"YES","NO")</f>
        <v>NO</v>
      </c>
      <c r="G295" s="4"/>
      <c r="H295" s="4"/>
    </row>
    <row r="296" customFormat="false" ht="15.75" hidden="false" customHeight="false" outlineLevel="0" collapsed="false">
      <c r="B296" s="3" t="str">
        <f aca="false">IF(COUNTIF(Final_CB_B3_V5!$B$2:$B$496,A296)&gt;=1,"YES","NO")</f>
        <v>NO</v>
      </c>
      <c r="D296" s="3" t="str">
        <f aca="false">IF(COUNTIF(Final_CB_B3_V5!$C$2:$C$496,C296)&gt;=1,"YES","NO")</f>
        <v>NO</v>
      </c>
      <c r="G296" s="4"/>
      <c r="H296" s="4"/>
    </row>
    <row r="297" customFormat="false" ht="15.75" hidden="false" customHeight="false" outlineLevel="0" collapsed="false">
      <c r="B297" s="3" t="str">
        <f aca="false">IF(COUNTIF(Final_CB_B3_V5!$B$2:$B$496,A297)&gt;=1,"YES","NO")</f>
        <v>NO</v>
      </c>
      <c r="D297" s="3" t="str">
        <f aca="false">IF(COUNTIF(Final_CB_B3_V5!$C$2:$C$496,C297)&gt;=1,"YES","NO")</f>
        <v>NO</v>
      </c>
      <c r="G297" s="4"/>
      <c r="H297" s="4"/>
    </row>
    <row r="298" customFormat="false" ht="15.75" hidden="false" customHeight="false" outlineLevel="0" collapsed="false">
      <c r="B298" s="3" t="str">
        <f aca="false">IF(COUNTIF(Final_CB_B3_V5!$B$2:$B$496,A298)&gt;=1,"YES","NO")</f>
        <v>NO</v>
      </c>
      <c r="D298" s="3" t="str">
        <f aca="false">IF(COUNTIF(Final_CB_B3_V5!$C$2:$C$496,C298)&gt;=1,"YES","NO")</f>
        <v>NO</v>
      </c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  <row r="628" customFormat="false" ht="15.75" hidden="false" customHeight="false" outlineLevel="0" collapsed="false">
      <c r="G628" s="4"/>
      <c r="H628" s="4"/>
    </row>
    <row r="629" customFormat="false" ht="15.75" hidden="false" customHeight="false" outlineLevel="0" collapsed="false">
      <c r="G629" s="4"/>
      <c r="H629" s="4"/>
    </row>
    <row r="630" customFormat="false" ht="15.75" hidden="false" customHeight="false" outlineLevel="0" collapsed="false">
      <c r="G630" s="4"/>
      <c r="H630" s="4"/>
    </row>
    <row r="631" customFormat="false" ht="15.75" hidden="false" customHeight="false" outlineLevel="0" collapsed="false">
      <c r="G631" s="4"/>
      <c r="H631" s="4"/>
    </row>
    <row r="632" customFormat="false" ht="15.75" hidden="false" customHeight="false" outlineLevel="0" collapsed="false">
      <c r="G632" s="4"/>
      <c r="H632" s="4"/>
    </row>
    <row r="633" customFormat="false" ht="15.75" hidden="false" customHeight="false" outlineLevel="0" collapsed="false">
      <c r="G633" s="4"/>
      <c r="H633" s="4"/>
    </row>
    <row r="634" customFormat="false" ht="15.75" hidden="false" customHeight="false" outlineLevel="0" collapsed="false">
      <c r="G634" s="4"/>
      <c r="H634" s="4"/>
    </row>
    <row r="635" customFormat="false" ht="15.75" hidden="false" customHeight="false" outlineLevel="0" collapsed="false">
      <c r="G635" s="4"/>
      <c r="H635" s="4"/>
    </row>
    <row r="636" customFormat="false" ht="15.75" hidden="false" customHeight="false" outlineLevel="0" collapsed="false">
      <c r="G636" s="4"/>
      <c r="H636" s="4"/>
    </row>
    <row r="637" customFormat="false" ht="15.75" hidden="false" customHeight="false" outlineLevel="0" collapsed="false">
      <c r="G637" s="4"/>
      <c r="H637" s="4"/>
    </row>
    <row r="638" customFormat="false" ht="15.75" hidden="false" customHeight="false" outlineLevel="0" collapsed="false">
      <c r="G638" s="4"/>
      <c r="H638" s="4"/>
    </row>
    <row r="639" customFormat="false" ht="15.75" hidden="false" customHeight="false" outlineLevel="0" collapsed="false">
      <c r="G639" s="4"/>
      <c r="H639" s="4"/>
    </row>
    <row r="640" customFormat="false" ht="15.75" hidden="false" customHeight="false" outlineLevel="0" collapsed="false">
      <c r="G640" s="4"/>
      <c r="H640" s="4"/>
    </row>
    <row r="641" customFormat="false" ht="15.75" hidden="false" customHeight="false" outlineLevel="0" collapsed="false">
      <c r="G641" s="4"/>
      <c r="H641" s="4"/>
    </row>
    <row r="642" customFormat="false" ht="15.75" hidden="false" customHeight="false" outlineLevel="0" collapsed="false">
      <c r="G642" s="4"/>
      <c r="H642" s="4"/>
    </row>
    <row r="643" customFormat="false" ht="15.75" hidden="false" customHeight="false" outlineLevel="0" collapsed="false">
      <c r="G643" s="4"/>
      <c r="H643" s="4"/>
    </row>
    <row r="644" customFormat="false" ht="15.75" hidden="false" customHeight="false" outlineLevel="0" collapsed="false">
      <c r="G644" s="4"/>
      <c r="H644" s="4"/>
    </row>
    <row r="645" customFormat="false" ht="15.75" hidden="false" customHeight="false" outlineLevel="0" collapsed="false">
      <c r="G645" s="4"/>
      <c r="H645" s="4"/>
    </row>
    <row r="646" customFormat="false" ht="15.75" hidden="false" customHeight="false" outlineLevel="0" collapsed="false">
      <c r="G646" s="4"/>
      <c r="H646" s="4"/>
    </row>
    <row r="647" customFormat="false" ht="15.75" hidden="false" customHeight="false" outlineLevel="0" collapsed="false">
      <c r="G647" s="4"/>
      <c r="H647" s="4"/>
    </row>
    <row r="648" customFormat="false" ht="15.75" hidden="false" customHeight="false" outlineLevel="0" collapsed="false">
      <c r="G648" s="4"/>
      <c r="H648" s="4"/>
    </row>
    <row r="649" customFormat="false" ht="15.75" hidden="false" customHeight="false" outlineLevel="0" collapsed="false">
      <c r="G649" s="4"/>
      <c r="H649" s="4"/>
    </row>
    <row r="650" customFormat="false" ht="15.75" hidden="false" customHeight="false" outlineLevel="0" collapsed="false">
      <c r="G650" s="4"/>
      <c r="H650" s="4"/>
    </row>
    <row r="651" customFormat="false" ht="15.75" hidden="false" customHeight="false" outlineLevel="0" collapsed="false">
      <c r="G651" s="4"/>
      <c r="H651" s="4"/>
    </row>
    <row r="652" customFormat="false" ht="15.75" hidden="false" customHeight="false" outlineLevel="0" collapsed="false">
      <c r="G652" s="4"/>
      <c r="H652" s="4"/>
    </row>
    <row r="653" customFormat="false" ht="15.75" hidden="false" customHeight="false" outlineLevel="0" collapsed="false">
      <c r="G653" s="4"/>
      <c r="H653" s="4"/>
    </row>
    <row r="654" customFormat="false" ht="15.75" hidden="false" customHeight="false" outlineLevel="0" collapsed="false">
      <c r="G654" s="4"/>
      <c r="H654" s="4"/>
    </row>
    <row r="655" customFormat="false" ht="15.75" hidden="false" customHeight="false" outlineLevel="0" collapsed="false">
      <c r="G655" s="4"/>
      <c r="H655" s="4"/>
    </row>
    <row r="656" customFormat="false" ht="15.75" hidden="false" customHeight="false" outlineLevel="0" collapsed="false">
      <c r="G656" s="4"/>
      <c r="H656" s="4"/>
    </row>
    <row r="657" customFormat="false" ht="15.75" hidden="false" customHeight="false" outlineLevel="0" collapsed="false">
      <c r="G657" s="4"/>
      <c r="H657" s="4"/>
    </row>
    <row r="658" customFormat="false" ht="15.75" hidden="false" customHeight="false" outlineLevel="0" collapsed="false">
      <c r="G658" s="4"/>
      <c r="H658" s="4"/>
    </row>
    <row r="659" customFormat="false" ht="15.75" hidden="false" customHeight="false" outlineLevel="0" collapsed="false">
      <c r="G659" s="4"/>
      <c r="H659" s="4"/>
    </row>
    <row r="660" customFormat="false" ht="15.75" hidden="false" customHeight="false" outlineLevel="0" collapsed="false">
      <c r="G660" s="4"/>
      <c r="H660" s="4"/>
    </row>
    <row r="661" customFormat="false" ht="15.75" hidden="false" customHeight="false" outlineLevel="0" collapsed="false">
      <c r="G661" s="4"/>
      <c r="H661" s="4"/>
    </row>
    <row r="662" customFormat="false" ht="15.75" hidden="false" customHeight="false" outlineLevel="0" collapsed="false">
      <c r="G662" s="4"/>
      <c r="H662" s="4"/>
    </row>
    <row r="663" customFormat="false" ht="15.75" hidden="false" customHeight="false" outlineLevel="0" collapsed="false">
      <c r="G663" s="4"/>
      <c r="H663" s="4"/>
    </row>
    <row r="664" customFormat="false" ht="15.75" hidden="false" customHeight="false" outlineLevel="0" collapsed="false">
      <c r="G664" s="4"/>
      <c r="H664" s="4"/>
    </row>
    <row r="665" customFormat="false" ht="15.75" hidden="false" customHeight="false" outlineLevel="0" collapsed="false">
      <c r="G665" s="4"/>
      <c r="H665" s="4"/>
    </row>
    <row r="666" customFormat="false" ht="15.75" hidden="false" customHeight="false" outlineLevel="0" collapsed="false">
      <c r="G666" s="4"/>
      <c r="H666" s="4"/>
    </row>
    <row r="667" customFormat="false" ht="15.75" hidden="false" customHeight="false" outlineLevel="0" collapsed="false">
      <c r="G667" s="4"/>
      <c r="H667" s="4"/>
    </row>
    <row r="668" customFormat="false" ht="15.75" hidden="false" customHeight="false" outlineLevel="0" collapsed="false">
      <c r="G668" s="4"/>
      <c r="H668" s="4"/>
    </row>
    <row r="669" customFormat="false" ht="15.75" hidden="false" customHeight="false" outlineLevel="0" collapsed="false">
      <c r="G669" s="4"/>
      <c r="H669" s="4"/>
    </row>
    <row r="670" customFormat="false" ht="15.75" hidden="false" customHeight="false" outlineLevel="0" collapsed="false">
      <c r="G670" s="4"/>
      <c r="H670" s="4"/>
    </row>
    <row r="671" customFormat="false" ht="15.75" hidden="false" customHeight="false" outlineLevel="0" collapsed="false">
      <c r="G671" s="4"/>
      <c r="H671" s="4"/>
    </row>
    <row r="672" customFormat="false" ht="15.75" hidden="false" customHeight="false" outlineLevel="0" collapsed="false">
      <c r="G672" s="4"/>
      <c r="H672" s="4"/>
    </row>
    <row r="673" customFormat="false" ht="15.75" hidden="false" customHeight="false" outlineLevel="0" collapsed="false">
      <c r="G673" s="4"/>
      <c r="H673" s="4"/>
    </row>
    <row r="674" customFormat="false" ht="15.75" hidden="false" customHeight="false" outlineLevel="0" collapsed="false">
      <c r="G674" s="4"/>
      <c r="H674" s="4"/>
    </row>
    <row r="675" customFormat="false" ht="15.75" hidden="false" customHeight="false" outlineLevel="0" collapsed="false">
      <c r="G675" s="4"/>
      <c r="H675" s="4"/>
    </row>
    <row r="676" customFormat="false" ht="15.75" hidden="false" customHeight="false" outlineLevel="0" collapsed="false">
      <c r="G676" s="4"/>
      <c r="H676" s="4"/>
    </row>
    <row r="677" customFormat="false" ht="15.75" hidden="false" customHeight="false" outlineLevel="0" collapsed="false">
      <c r="G677" s="4"/>
      <c r="H677" s="4"/>
    </row>
    <row r="678" customFormat="false" ht="15.75" hidden="false" customHeight="false" outlineLevel="0" collapsed="false">
      <c r="G678" s="4"/>
      <c r="H678" s="4"/>
    </row>
    <row r="679" customFormat="false" ht="15.75" hidden="false" customHeight="false" outlineLevel="0" collapsed="false">
      <c r="G679" s="4"/>
      <c r="H679" s="4"/>
    </row>
    <row r="680" customFormat="false" ht="15.75" hidden="false" customHeight="false" outlineLevel="0" collapsed="false">
      <c r="G680" s="4"/>
      <c r="H680" s="4"/>
    </row>
    <row r="681" customFormat="false" ht="15.75" hidden="false" customHeight="false" outlineLevel="0" collapsed="false">
      <c r="G681" s="4"/>
      <c r="H681" s="4"/>
    </row>
    <row r="682" customFormat="false" ht="15.75" hidden="false" customHeight="false" outlineLevel="0" collapsed="false">
      <c r="G682" s="4"/>
      <c r="H682" s="4"/>
    </row>
    <row r="683" customFormat="false" ht="15.75" hidden="false" customHeight="false" outlineLevel="0" collapsed="false">
      <c r="G683" s="4"/>
      <c r="H683" s="4"/>
    </row>
    <row r="684" customFormat="false" ht="15.75" hidden="false" customHeight="false" outlineLevel="0" collapsed="false">
      <c r="G684" s="4"/>
    </row>
  </sheetData>
  <conditionalFormatting sqref="A2:A1000 C2:C12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3" t="s">
        <v>1423</v>
      </c>
      <c r="B2" s="3" t="s">
        <v>1423</v>
      </c>
      <c r="C2" s="3" t="s">
        <v>1423</v>
      </c>
      <c r="D2" s="3" t="s">
        <v>1395</v>
      </c>
    </row>
    <row r="3" customFormat="false" ht="15.75" hidden="false" customHeight="false" outlineLevel="0" collapsed="false">
      <c r="A3" s="3" t="s">
        <v>1437</v>
      </c>
      <c r="B3" s="3" t="s">
        <v>1437</v>
      </c>
      <c r="C3" s="3" t="s">
        <v>1437</v>
      </c>
      <c r="D3" s="3" t="s">
        <v>1395</v>
      </c>
    </row>
    <row r="4" customFormat="false" ht="15.75" hidden="false" customHeight="false" outlineLevel="0" collapsed="false">
      <c r="A4" s="3" t="s">
        <v>1438</v>
      </c>
      <c r="B4" s="3" t="s">
        <v>1438</v>
      </c>
      <c r="C4" s="3" t="s">
        <v>1438</v>
      </c>
      <c r="D4" s="3" t="s">
        <v>1395</v>
      </c>
    </row>
    <row r="5" customFormat="false" ht="15.75" hidden="false" customHeight="false" outlineLevel="0" collapsed="false">
      <c r="A5" s="3" t="s">
        <v>1440</v>
      </c>
      <c r="B5" s="3" t="s">
        <v>1440</v>
      </c>
      <c r="C5" s="3" t="s">
        <v>1440</v>
      </c>
      <c r="D5" s="3" t="s">
        <v>1395</v>
      </c>
    </row>
    <row r="6" customFormat="false" ht="15.75" hidden="false" customHeight="false" outlineLevel="0" collapsed="false">
      <c r="A6" s="3" t="s">
        <v>1442</v>
      </c>
      <c r="B6" s="3" t="s">
        <v>1442</v>
      </c>
      <c r="C6" s="3" t="s">
        <v>1442</v>
      </c>
      <c r="D6" s="3" t="s">
        <v>1395</v>
      </c>
    </row>
    <row r="7" customFormat="false" ht="15.75" hidden="false" customHeight="false" outlineLevel="0" collapsed="false">
      <c r="A7" s="3" t="s">
        <v>1444</v>
      </c>
      <c r="B7" s="3" t="s">
        <v>1444</v>
      </c>
      <c r="C7" s="3" t="s">
        <v>1444</v>
      </c>
      <c r="D7" s="3" t="s">
        <v>1395</v>
      </c>
    </row>
    <row r="8" customFormat="false" ht="15.75" hidden="false" customHeight="false" outlineLevel="0" collapsed="false">
      <c r="A8" s="3" t="s">
        <v>1446</v>
      </c>
      <c r="B8" s="3" t="s">
        <v>1446</v>
      </c>
      <c r="C8" s="3" t="s">
        <v>1446</v>
      </c>
      <c r="D8" s="3" t="s">
        <v>1395</v>
      </c>
    </row>
    <row r="9" customFormat="false" ht="15.75" hidden="false" customHeight="false" outlineLevel="0" collapsed="false">
      <c r="A9" s="3" t="s">
        <v>1454</v>
      </c>
      <c r="B9" s="3" t="s">
        <v>1454</v>
      </c>
      <c r="C9" s="3" t="s">
        <v>1454</v>
      </c>
      <c r="D9" s="3" t="s">
        <v>1395</v>
      </c>
    </row>
    <row r="10" customFormat="false" ht="15.75" hidden="false" customHeight="false" outlineLevel="0" collapsed="false">
      <c r="A10" s="3" t="s">
        <v>1455</v>
      </c>
      <c r="B10" s="3" t="s">
        <v>1455</v>
      </c>
      <c r="C10" s="3" t="s">
        <v>1455</v>
      </c>
      <c r="D10" s="3" t="s">
        <v>1395</v>
      </c>
    </row>
    <row r="11" customFormat="false" ht="15.75" hidden="false" customHeight="false" outlineLevel="0" collapsed="false">
      <c r="A11" s="4"/>
      <c r="B11" s="3"/>
      <c r="D11" s="3"/>
    </row>
    <row r="12" customFormat="false" ht="15.75" hidden="false" customHeight="false" outlineLevel="0" collapsed="false">
      <c r="A12" s="3" t="s">
        <v>1457</v>
      </c>
      <c r="B12" s="3" t="s">
        <v>1457</v>
      </c>
      <c r="C12" s="3" t="s">
        <v>1457</v>
      </c>
      <c r="D12" s="3" t="s">
        <v>1395</v>
      </c>
    </row>
    <row r="13" customFormat="false" ht="15.75" hidden="false" customHeight="false" outlineLevel="0" collapsed="false">
      <c r="A13" s="3" t="s">
        <v>1478</v>
      </c>
      <c r="B13" s="3" t="s">
        <v>1458</v>
      </c>
      <c r="C13" s="3" t="s">
        <v>1458</v>
      </c>
      <c r="D13" s="3" t="s">
        <v>1395</v>
      </c>
    </row>
    <row r="14" customFormat="false" ht="15.75" hidden="false" customHeight="false" outlineLevel="0" collapsed="false">
      <c r="A14" s="3" t="s">
        <v>1478</v>
      </c>
      <c r="B14" s="3" t="s">
        <v>1460</v>
      </c>
      <c r="C14" s="3" t="s">
        <v>1460</v>
      </c>
      <c r="D14" s="3" t="s">
        <v>1395</v>
      </c>
    </row>
    <row r="15" customFormat="false" ht="15.75" hidden="false" customHeight="false" outlineLevel="0" collapsed="false">
      <c r="A15" s="3" t="s">
        <v>1479</v>
      </c>
      <c r="B15" s="3" t="s">
        <v>1466</v>
      </c>
      <c r="C15" s="3" t="s">
        <v>1466</v>
      </c>
      <c r="D15" s="3" t="s">
        <v>1395</v>
      </c>
    </row>
    <row r="16" customFormat="false" ht="15.75" hidden="false" customHeight="false" outlineLevel="0" collapsed="false">
      <c r="A16" s="3" t="s">
        <v>1470</v>
      </c>
      <c r="B16" s="3" t="s">
        <v>1470</v>
      </c>
      <c r="C16" s="3" t="s">
        <v>1470</v>
      </c>
      <c r="D16" s="3" t="s">
        <v>1395</v>
      </c>
    </row>
    <row r="17" customFormat="false" ht="15.75" hidden="false" customHeight="false" outlineLevel="0" collapsed="false">
      <c r="A17" s="3" t="s">
        <v>1471</v>
      </c>
      <c r="B17" s="3" t="s">
        <v>1471</v>
      </c>
      <c r="C17" s="3" t="s">
        <v>1471</v>
      </c>
      <c r="D17" s="3" t="s">
        <v>1395</v>
      </c>
    </row>
    <row r="18" customFormat="false" ht="15.75" hidden="false" customHeight="false" outlineLevel="0" collapsed="false">
      <c r="A18" s="3" t="s">
        <v>1474</v>
      </c>
      <c r="B18" s="3" t="s">
        <v>1474</v>
      </c>
      <c r="C18" s="3" t="s">
        <v>1474</v>
      </c>
      <c r="D18" s="3" t="s">
        <v>1395</v>
      </c>
    </row>
    <row r="19" customFormat="false" ht="15.75" hidden="false" customHeight="false" outlineLevel="0" collapsed="false">
      <c r="A19" s="3" t="s">
        <v>1438</v>
      </c>
      <c r="B19" s="3" t="s">
        <v>1445</v>
      </c>
      <c r="C19" s="3"/>
    </row>
    <row r="20" customFormat="false" ht="15.75" hidden="false" customHeight="false" outlineLevel="0" collapsed="false">
      <c r="A20" s="3" t="s">
        <v>1438</v>
      </c>
      <c r="B20" s="3" t="s">
        <v>1447</v>
      </c>
      <c r="C20" s="3"/>
    </row>
    <row r="21" customFormat="false" ht="15.75" hidden="false" customHeight="false" outlineLevel="0" collapsed="false">
      <c r="A21" s="3" t="s">
        <v>1438</v>
      </c>
      <c r="B21" s="3" t="s">
        <v>1449</v>
      </c>
      <c r="C21" s="3"/>
    </row>
    <row r="22" customFormat="false" ht="15.75" hidden="false" customHeight="false" outlineLevel="0" collapsed="false">
      <c r="A22" s="3" t="s">
        <v>1438</v>
      </c>
      <c r="B22" s="3" t="s">
        <v>1451</v>
      </c>
      <c r="C22" s="3"/>
    </row>
    <row r="23" customFormat="false" ht="15.75" hidden="false" customHeight="false" outlineLevel="0" collapsed="false">
      <c r="A23" s="3" t="s">
        <v>1438</v>
      </c>
      <c r="B23" s="3" t="s">
        <v>1453</v>
      </c>
      <c r="C23" s="3"/>
    </row>
    <row r="24" customFormat="false" ht="15.75" hidden="false" customHeight="false" outlineLevel="0" collapsed="false">
      <c r="A24" s="3" t="s">
        <v>1435</v>
      </c>
      <c r="B24" s="3" t="s">
        <v>1436</v>
      </c>
      <c r="C24" s="3" t="s">
        <v>1435</v>
      </c>
    </row>
    <row r="25" customFormat="false" ht="15.75" hidden="false" customHeight="false" outlineLevel="0" collapsed="false">
      <c r="A25" s="3" t="s">
        <v>1459</v>
      </c>
      <c r="B25" s="3" t="s">
        <v>1459</v>
      </c>
      <c r="C25" s="3" t="s">
        <v>1448</v>
      </c>
    </row>
    <row r="26" customFormat="false" ht="15.75" hidden="false" customHeight="false" outlineLevel="0" collapsed="false">
      <c r="A26" s="3" t="s">
        <v>1459</v>
      </c>
      <c r="B26" s="3" t="s">
        <v>1461</v>
      </c>
      <c r="C26" s="3" t="s">
        <v>1450</v>
      </c>
    </row>
    <row r="27" customFormat="false" ht="15.75" hidden="false" customHeight="false" outlineLevel="0" collapsed="false">
      <c r="A27" s="3" t="s">
        <v>1459</v>
      </c>
      <c r="B27" s="3" t="s">
        <v>1463</v>
      </c>
      <c r="C27" s="3"/>
    </row>
    <row r="28" customFormat="false" ht="15.75" hidden="false" customHeight="false" outlineLevel="0" collapsed="false">
      <c r="A28" s="4"/>
      <c r="B28" s="3"/>
    </row>
    <row r="29" customFormat="false" ht="15.75" hidden="false" customHeight="false" outlineLevel="0" collapsed="false">
      <c r="A29" s="3" t="s">
        <v>1472</v>
      </c>
      <c r="B29" s="3" t="s">
        <v>1477</v>
      </c>
      <c r="C29" s="3"/>
    </row>
    <row r="30" customFormat="false" ht="15.75" hidden="false" customHeight="false" outlineLevel="0" collapsed="false">
      <c r="A30" s="3" t="s">
        <v>1472</v>
      </c>
      <c r="B30" s="3" t="s">
        <v>1477</v>
      </c>
      <c r="C30" s="3" t="s">
        <v>1472</v>
      </c>
    </row>
    <row r="31" customFormat="false" ht="15.75" hidden="false" customHeight="false" outlineLevel="0" collapsed="false">
      <c r="A31" s="3" t="s">
        <v>1472</v>
      </c>
      <c r="B31" s="3" t="s">
        <v>1477</v>
      </c>
      <c r="C31" s="3" t="s">
        <v>1468</v>
      </c>
    </row>
    <row r="32" customFormat="false" ht="15.75" hidden="false" customHeight="false" outlineLevel="0" collapsed="false">
      <c r="A32" s="3" t="s">
        <v>1452</v>
      </c>
      <c r="B32" s="3" t="s">
        <v>1465</v>
      </c>
      <c r="C32" s="3" t="s">
        <v>1452</v>
      </c>
    </row>
    <row r="33" customFormat="false" ht="15.75" hidden="false" customHeight="false" outlineLevel="0" collapsed="false">
      <c r="A33" s="3" t="s">
        <v>1452</v>
      </c>
      <c r="B33" s="3" t="s">
        <v>1467</v>
      </c>
      <c r="C33" s="3" t="s">
        <v>1452</v>
      </c>
    </row>
    <row r="34" customFormat="false" ht="15.75" hidden="false" customHeight="false" outlineLevel="0" collapsed="false">
      <c r="A34" s="3" t="s">
        <v>1480</v>
      </c>
      <c r="B34" s="3" t="s">
        <v>1426</v>
      </c>
      <c r="C34" s="3" t="s">
        <v>1464</v>
      </c>
    </row>
    <row r="35" customFormat="false" ht="15.75" hidden="false" customHeight="false" outlineLevel="0" collapsed="false">
      <c r="A35" s="3" t="s">
        <v>1429</v>
      </c>
      <c r="B35" s="3" t="s">
        <v>1424</v>
      </c>
      <c r="C35" s="3" t="s">
        <v>1429</v>
      </c>
    </row>
    <row r="36" customFormat="false" ht="15.75" hidden="false" customHeight="false" outlineLevel="0" collapsed="false">
      <c r="A36" s="3" t="s">
        <v>1431</v>
      </c>
      <c r="C36" s="3" t="s">
        <v>1431</v>
      </c>
    </row>
    <row r="37" customFormat="false" ht="15.75" hidden="false" customHeight="false" outlineLevel="0" collapsed="false">
      <c r="A37" s="3" t="s">
        <v>1452</v>
      </c>
      <c r="C37" s="3" t="s">
        <v>1456</v>
      </c>
    </row>
    <row r="38" customFormat="false" ht="15.75" hidden="false" customHeight="false" outlineLevel="0" collapsed="false">
      <c r="A38" s="3" t="s">
        <v>1473</v>
      </c>
      <c r="C38" s="3" t="s">
        <v>1473</v>
      </c>
    </row>
    <row r="39" customFormat="false" ht="15.75" hidden="false" customHeight="false" outlineLevel="0" collapsed="false">
      <c r="A39" s="3" t="s">
        <v>1431</v>
      </c>
      <c r="B39" s="3" t="s">
        <v>1432</v>
      </c>
      <c r="C39" s="3"/>
    </row>
    <row r="40" customFormat="false" ht="15.75" hidden="false" customHeight="false" outlineLevel="0" collapsed="false">
      <c r="A40" s="3" t="s">
        <v>1431</v>
      </c>
      <c r="B40" s="3" t="s">
        <v>1434</v>
      </c>
      <c r="C40" s="3"/>
    </row>
    <row r="41" customFormat="false" ht="15.75" hidden="false" customHeight="false" outlineLevel="0" collapsed="false">
      <c r="A41" s="3" t="s">
        <v>1431</v>
      </c>
      <c r="B41" s="16" t="s">
        <v>1430</v>
      </c>
      <c r="C41" s="3" t="s">
        <v>1433</v>
      </c>
    </row>
    <row r="42" customFormat="false" ht="15.75" hidden="false" customHeight="false" outlineLevel="0" collapsed="false">
      <c r="A42" s="3" t="s">
        <v>1481</v>
      </c>
      <c r="B42" s="3" t="s">
        <v>1439</v>
      </c>
      <c r="C42" s="3"/>
    </row>
    <row r="43" customFormat="false" ht="15.75" hidden="false" customHeight="false" outlineLevel="0" collapsed="false">
      <c r="A43" s="3" t="s">
        <v>1481</v>
      </c>
      <c r="B43" s="3" t="s">
        <v>1441</v>
      </c>
    </row>
    <row r="44" customFormat="false" ht="15.75" hidden="false" customHeight="false" outlineLevel="0" collapsed="false">
      <c r="A44" s="3" t="s">
        <v>1481</v>
      </c>
      <c r="B44" s="3" t="s">
        <v>1443</v>
      </c>
      <c r="C44" s="3"/>
    </row>
    <row r="45" customFormat="false" ht="15.75" hidden="false" customHeight="false" outlineLevel="0" collapsed="false">
      <c r="A45" s="4"/>
      <c r="B45" s="3"/>
      <c r="C45" s="3"/>
    </row>
    <row r="46" customFormat="false" ht="15.75" hidden="false" customHeight="false" outlineLevel="0" collapsed="false">
      <c r="A46" s="3" t="s">
        <v>1429</v>
      </c>
      <c r="B46" s="3" t="s">
        <v>1428</v>
      </c>
      <c r="C46" s="3"/>
    </row>
    <row r="47" customFormat="false" ht="15.75" hidden="false" customHeight="false" outlineLevel="0" collapsed="false">
      <c r="A47" s="3" t="s">
        <v>1482</v>
      </c>
      <c r="B47" s="3"/>
      <c r="C47" s="3" t="s">
        <v>1425</v>
      </c>
    </row>
    <row r="48" customFormat="false" ht="15.75" hidden="false" customHeight="false" outlineLevel="0" collapsed="false">
      <c r="A48" s="3" t="s">
        <v>1478</v>
      </c>
      <c r="B48" s="3"/>
      <c r="C48" s="3" t="s">
        <v>1462</v>
      </c>
    </row>
    <row r="49" customFormat="false" ht="15.75" hidden="false" customHeight="false" outlineLevel="0" collapsed="false">
      <c r="A49" s="4"/>
      <c r="B49" s="3"/>
      <c r="C49" s="3"/>
    </row>
    <row r="50" customFormat="false" ht="15.75" hidden="false" customHeight="false" outlineLevel="0" collapsed="false">
      <c r="A50" s="3" t="s">
        <v>1469</v>
      </c>
      <c r="B50" s="3"/>
      <c r="C50" s="3" t="s">
        <v>1469</v>
      </c>
    </row>
    <row r="51" customFormat="false" ht="15.75" hidden="false" customHeight="false" outlineLevel="0" collapsed="false">
      <c r="A51" s="3" t="s">
        <v>1475</v>
      </c>
      <c r="B51" s="3"/>
      <c r="C51" s="3" t="s">
        <v>1475</v>
      </c>
    </row>
    <row r="52" customFormat="false" ht="15.75" hidden="false" customHeight="false" outlineLevel="0" collapsed="false">
      <c r="A52" s="3" t="s">
        <v>1476</v>
      </c>
      <c r="B52" s="3"/>
      <c r="C52" s="3" t="s">
        <v>1476</v>
      </c>
    </row>
    <row r="53" customFormat="false" ht="15.75" hidden="false" customHeight="false" outlineLevel="0" collapsed="false">
      <c r="A53" s="3" t="s">
        <v>1427</v>
      </c>
      <c r="B53" s="3"/>
      <c r="C53" s="3" t="s">
        <v>1427</v>
      </c>
    </row>
    <row r="54" customFormat="false" ht="15.75" hidden="false" customHeight="false" outlineLevel="0" collapsed="false">
      <c r="A54" s="4"/>
      <c r="B54" s="3"/>
    </row>
    <row r="55" customFormat="false" ht="15.75" hidden="false" customHeight="false" outlineLevel="0" collapsed="false">
      <c r="A55" s="3" t="s">
        <v>713</v>
      </c>
      <c r="B55" s="3"/>
      <c r="C55" s="3" t="s">
        <v>1358</v>
      </c>
    </row>
    <row r="56" customFormat="false" ht="15.75" hidden="false" customHeight="false" outlineLevel="0" collapsed="false">
      <c r="A56" s="4"/>
      <c r="B56" s="3"/>
    </row>
    <row r="57" customFormat="false" ht="15.75" hidden="false" customHeight="false" outlineLevel="0" collapsed="false">
      <c r="A57" s="4"/>
      <c r="B57" s="3"/>
    </row>
    <row r="58" customFormat="false" ht="15.75" hidden="false" customHeight="false" outlineLevel="0" collapsed="false">
      <c r="A58" s="4"/>
      <c r="B58" s="3"/>
      <c r="C58" s="3"/>
    </row>
    <row r="59" customFormat="false" ht="15.75" hidden="false" customHeight="false" outlineLevel="0" collapsed="false">
      <c r="A59" s="4"/>
      <c r="B59" s="3"/>
      <c r="C59" s="3"/>
    </row>
    <row r="60" customFormat="false" ht="15.75" hidden="false" customHeight="false" outlineLevel="0" collapsed="false">
      <c r="A60" s="4"/>
      <c r="B60" s="3"/>
      <c r="C60" s="3"/>
    </row>
    <row r="61" customFormat="false" ht="15.75" hidden="false" customHeight="false" outlineLevel="0" collapsed="false">
      <c r="A61" s="4"/>
      <c r="B61" s="3"/>
      <c r="C61" s="3"/>
    </row>
    <row r="62" customFormat="false" ht="15.75" hidden="false" customHeight="false" outlineLevel="0" collapsed="false">
      <c r="A62" s="4"/>
      <c r="B62" s="3"/>
      <c r="C62" s="3"/>
    </row>
    <row r="63" customFormat="false" ht="15.75" hidden="false" customHeight="false" outlineLevel="0" collapsed="false">
      <c r="A63" s="4"/>
      <c r="B63" s="3"/>
      <c r="C63" s="3"/>
    </row>
    <row r="64" customFormat="false" ht="15.75" hidden="false" customHeight="false" outlineLevel="0" collapsed="false">
      <c r="A64" s="4"/>
      <c r="B64" s="3"/>
      <c r="C64" s="3"/>
    </row>
    <row r="65" customFormat="false" ht="15.75" hidden="false" customHeight="false" outlineLevel="0" collapsed="false">
      <c r="A65" s="4"/>
      <c r="B65" s="3"/>
      <c r="C65" s="3"/>
    </row>
    <row r="66" customFormat="false" ht="15.75" hidden="false" customHeight="false" outlineLevel="0" collapsed="false">
      <c r="A66" s="4"/>
      <c r="B66" s="3"/>
      <c r="C66" s="3"/>
    </row>
    <row r="67" customFormat="false" ht="15.75" hidden="false" customHeight="false" outlineLevel="0" collapsed="false">
      <c r="A67" s="4"/>
      <c r="B67" s="3"/>
      <c r="C67" s="3"/>
    </row>
    <row r="68" customFormat="false" ht="15.75" hidden="false" customHeight="false" outlineLevel="0" collapsed="false">
      <c r="A68" s="4"/>
      <c r="B68" s="3"/>
      <c r="C68" s="3"/>
    </row>
    <row r="69" customFormat="false" ht="15.75" hidden="false" customHeight="false" outlineLevel="0" collapsed="false">
      <c r="A69" s="4"/>
      <c r="B69" s="3"/>
      <c r="C69" s="3"/>
    </row>
    <row r="70" customFormat="false" ht="15.75" hidden="false" customHeight="false" outlineLevel="0" collapsed="false">
      <c r="A70" s="4"/>
      <c r="B70" s="3"/>
      <c r="C70" s="3"/>
    </row>
    <row r="71" customFormat="false" ht="15.75" hidden="false" customHeight="false" outlineLevel="0" collapsed="false">
      <c r="A71" s="4"/>
      <c r="B71" s="3"/>
      <c r="C71" s="3"/>
    </row>
    <row r="72" customFormat="false" ht="15.75" hidden="false" customHeight="false" outlineLevel="0" collapsed="false">
      <c r="A72" s="4"/>
      <c r="B72" s="3"/>
      <c r="C72" s="3"/>
    </row>
    <row r="73" customFormat="false" ht="15.75" hidden="false" customHeight="false" outlineLevel="0" collapsed="false">
      <c r="A73" s="4"/>
      <c r="B73" s="3"/>
      <c r="C73" s="3"/>
    </row>
    <row r="74" customFormat="false" ht="15.75" hidden="false" customHeight="false" outlineLevel="0" collapsed="false">
      <c r="A74" s="4"/>
      <c r="B74" s="3"/>
      <c r="C74" s="3"/>
    </row>
    <row r="75" customFormat="false" ht="15.75" hidden="false" customHeight="false" outlineLevel="0" collapsed="false">
      <c r="A75" s="4"/>
      <c r="B75" s="3"/>
      <c r="C75" s="3"/>
    </row>
    <row r="76" customFormat="false" ht="15.75" hidden="false" customHeight="false" outlineLevel="0" collapsed="false">
      <c r="A76" s="4"/>
      <c r="B76" s="3"/>
      <c r="C76" s="3"/>
    </row>
    <row r="77" customFormat="false" ht="15.75" hidden="false" customHeight="false" outlineLevel="0" collapsed="false">
      <c r="A77" s="4"/>
      <c r="B77" s="3"/>
      <c r="C77" s="3"/>
    </row>
    <row r="78" customFormat="false" ht="15.75" hidden="false" customHeight="false" outlineLevel="0" collapsed="false">
      <c r="A78" s="4"/>
      <c r="B78" s="3"/>
      <c r="C78" s="3"/>
    </row>
    <row r="79" customFormat="false" ht="15.75" hidden="false" customHeight="false" outlineLevel="0" collapsed="false">
      <c r="A79" s="4"/>
      <c r="B79" s="3"/>
      <c r="C79" s="3"/>
    </row>
    <row r="80" customFormat="false" ht="15.75" hidden="false" customHeight="false" outlineLevel="0" collapsed="false">
      <c r="A80" s="4"/>
      <c r="B80" s="3"/>
      <c r="C80" s="3"/>
    </row>
    <row r="81" customFormat="false" ht="15.75" hidden="false" customHeight="false" outlineLevel="0" collapsed="false">
      <c r="A81" s="4"/>
      <c r="B81" s="3"/>
      <c r="C81" s="3"/>
    </row>
    <row r="82" customFormat="false" ht="15.75" hidden="false" customHeight="false" outlineLevel="0" collapsed="false">
      <c r="A82" s="4"/>
    </row>
    <row r="83" customFormat="false" ht="15.75" hidden="false" customHeight="false" outlineLevel="0" collapsed="false">
      <c r="A83" s="4"/>
    </row>
    <row r="84" customFormat="false" ht="15.75" hidden="false" customHeight="false" outlineLevel="0" collapsed="false">
      <c r="A84" s="4"/>
    </row>
    <row r="85" customFormat="false" ht="15.75" hidden="false" customHeight="false" outlineLevel="0" collapsed="false">
      <c r="A85" s="4"/>
      <c r="B85" s="3"/>
      <c r="C85" s="3"/>
    </row>
    <row r="86" customFormat="false" ht="15.75" hidden="false" customHeight="false" outlineLevel="0" collapsed="false">
      <c r="A86" s="4"/>
    </row>
    <row r="87" customFormat="false" ht="15.75" hidden="false" customHeight="false" outlineLevel="0" collapsed="false">
      <c r="A87" s="4"/>
    </row>
    <row r="88" customFormat="false" ht="15.75" hidden="false" customHeight="false" outlineLevel="0" collapsed="false">
      <c r="A88" s="4"/>
    </row>
    <row r="89" customFormat="false" ht="15.75" hidden="false" customHeight="false" outlineLevel="0" collapsed="false">
      <c r="A89" s="4"/>
    </row>
    <row r="90" customFormat="false" ht="15.75" hidden="false" customHeight="false" outlineLevel="0" collapsed="false">
      <c r="A90" s="4"/>
    </row>
    <row r="91" customFormat="false" ht="15.75" hidden="false" customHeight="false" outlineLevel="0" collapsed="false">
      <c r="A91" s="4"/>
    </row>
    <row r="92" customFormat="false" ht="15.75" hidden="false" customHeight="false" outlineLevel="0" collapsed="false">
      <c r="A92" s="4"/>
      <c r="C92" s="3"/>
    </row>
    <row r="93" customFormat="false" ht="15.75" hidden="false" customHeight="false" outlineLevel="0" collapsed="false">
      <c r="A93" s="4"/>
      <c r="C93" s="3"/>
    </row>
    <row r="94" customFormat="false" ht="15.75" hidden="false" customHeight="false" outlineLevel="0" collapsed="false">
      <c r="A94" s="4"/>
    </row>
    <row r="95" customFormat="false" ht="15.75" hidden="false" customHeight="false" outlineLevel="0" collapsed="false">
      <c r="A95" s="4"/>
    </row>
    <row r="96" customFormat="false" ht="15.75" hidden="false" customHeight="false" outlineLevel="0" collapsed="false">
      <c r="A96" s="4"/>
    </row>
    <row r="97" customFormat="false" ht="15.75" hidden="false" customHeight="false" outlineLevel="0" collapsed="false">
      <c r="A97" s="4"/>
    </row>
    <row r="98" customFormat="false" ht="15.75" hidden="false" customHeight="false" outlineLevel="0" collapsed="false">
      <c r="A98" s="4"/>
    </row>
    <row r="99" customFormat="false" ht="15.75" hidden="false" customHeight="false" outlineLevel="0" collapsed="false">
      <c r="A99" s="4"/>
    </row>
    <row r="100" customFormat="false" ht="15.75" hidden="false" customHeight="false" outlineLevel="0" collapsed="false">
      <c r="A100" s="4"/>
    </row>
    <row r="101" customFormat="false" ht="15.75" hidden="false" customHeight="false" outlineLevel="0" collapsed="false">
      <c r="A101" s="4"/>
      <c r="C101" s="3"/>
    </row>
    <row r="102" customFormat="false" ht="15.75" hidden="false" customHeight="false" outlineLevel="0" collapsed="false">
      <c r="A102" s="4"/>
      <c r="C102" s="3"/>
    </row>
    <row r="103" customFormat="false" ht="15.75" hidden="false" customHeight="false" outlineLevel="0" collapsed="false">
      <c r="A103" s="4"/>
      <c r="C103" s="3"/>
    </row>
    <row r="104" customFormat="false" ht="15.75" hidden="false" customHeight="false" outlineLevel="0" collapsed="false">
      <c r="A104" s="4"/>
      <c r="C104" s="3"/>
    </row>
    <row r="105" customFormat="false" ht="15.75" hidden="false" customHeight="false" outlineLevel="0" collapsed="false">
      <c r="A105" s="4"/>
      <c r="C105" s="3"/>
    </row>
    <row r="106" customFormat="false" ht="15.75" hidden="false" customHeight="false" outlineLevel="0" collapsed="false">
      <c r="A106" s="4"/>
      <c r="C106" s="3"/>
    </row>
    <row r="107" customFormat="false" ht="15.75" hidden="false" customHeight="false" outlineLevel="0" collapsed="false">
      <c r="A107" s="4"/>
    </row>
    <row r="108" customFormat="false" ht="15.75" hidden="false" customHeight="false" outlineLevel="0" collapsed="false">
      <c r="A108" s="4"/>
      <c r="B108" s="3"/>
    </row>
    <row r="109" customFormat="false" ht="15.75" hidden="false" customHeight="false" outlineLevel="0" collapsed="false">
      <c r="A109" s="4"/>
    </row>
    <row r="110" customFormat="false" ht="15.75" hidden="false" customHeight="false" outlineLevel="0" collapsed="false">
      <c r="A110" s="4"/>
      <c r="B110" s="3"/>
    </row>
    <row r="111" customFormat="false" ht="15.75" hidden="false" customHeight="false" outlineLevel="0" collapsed="false">
      <c r="A111" s="4"/>
      <c r="B111" s="3"/>
    </row>
    <row r="112" customFormat="false" ht="15.75" hidden="false" customHeight="false" outlineLevel="0" collapsed="false">
      <c r="A112" s="4"/>
      <c r="C112" s="3"/>
    </row>
    <row r="113" customFormat="false" ht="15.75" hidden="false" customHeight="false" outlineLevel="0" collapsed="false">
      <c r="A113" s="4"/>
      <c r="C113" s="3"/>
    </row>
    <row r="114" customFormat="false" ht="15.75" hidden="false" customHeight="false" outlineLevel="0" collapsed="false">
      <c r="A114" s="4"/>
      <c r="C114" s="3"/>
    </row>
    <row r="115" customFormat="false" ht="15.75" hidden="false" customHeight="false" outlineLevel="0" collapsed="false">
      <c r="A115" s="4"/>
      <c r="C115" s="3"/>
    </row>
    <row r="116" customFormat="false" ht="15.75" hidden="false" customHeight="false" outlineLevel="0" collapsed="false">
      <c r="A116" s="4"/>
      <c r="C116" s="3"/>
    </row>
    <row r="117" customFormat="false" ht="15.75" hidden="false" customHeight="false" outlineLevel="0" collapsed="false">
      <c r="A117" s="4"/>
      <c r="C117" s="3"/>
    </row>
    <row r="118" customFormat="false" ht="15.75" hidden="false" customHeight="false" outlineLevel="0" collapsed="false">
      <c r="A118" s="4"/>
      <c r="C118" s="3"/>
    </row>
    <row r="119" customFormat="false" ht="15.75" hidden="false" customHeight="false" outlineLevel="0" collapsed="false">
      <c r="A119" s="4"/>
    </row>
    <row r="120" customFormat="false" ht="15.75" hidden="false" customHeight="false" outlineLevel="0" collapsed="false">
      <c r="A120" s="4"/>
      <c r="C120" s="3"/>
    </row>
    <row r="121" customFormat="false" ht="15.75" hidden="false" customHeight="false" outlineLevel="0" collapsed="false">
      <c r="A121" s="4"/>
      <c r="C121" s="3"/>
    </row>
    <row r="122" customFormat="false" ht="15.75" hidden="false" customHeight="false" outlineLevel="0" collapsed="false">
      <c r="A122" s="4"/>
    </row>
    <row r="123" customFormat="false" ht="15.75" hidden="false" customHeight="false" outlineLevel="0" collapsed="false">
      <c r="A123" s="4"/>
    </row>
    <row r="124" customFormat="false" ht="15.75" hidden="false" customHeight="false" outlineLevel="0" collapsed="false">
      <c r="A124" s="4"/>
      <c r="C124" s="3"/>
    </row>
    <row r="125" customFormat="false" ht="15.75" hidden="false" customHeight="false" outlineLevel="0" collapsed="false">
      <c r="A125" s="4"/>
      <c r="C125" s="3"/>
    </row>
    <row r="126" customFormat="false" ht="15.75" hidden="false" customHeight="false" outlineLevel="0" collapsed="false">
      <c r="A126" s="4"/>
      <c r="C126" s="3"/>
    </row>
    <row r="127" customFormat="false" ht="15.75" hidden="false" customHeight="false" outlineLevel="0" collapsed="false">
      <c r="A127" s="4"/>
      <c r="B127" s="3"/>
      <c r="C127" s="3"/>
    </row>
    <row r="128" customFormat="false" ht="15.75" hidden="false" customHeight="false" outlineLevel="0" collapsed="false">
      <c r="A128" s="4"/>
      <c r="B128" s="3"/>
      <c r="C128" s="3"/>
    </row>
    <row r="129" customFormat="false" ht="15.75" hidden="false" customHeight="false" outlineLevel="0" collapsed="false">
      <c r="A129" s="4"/>
    </row>
    <row r="130" customFormat="false" ht="15.75" hidden="false" customHeight="false" outlineLevel="0" collapsed="false">
      <c r="A130" s="4"/>
    </row>
    <row r="131" customFormat="false" ht="15.75" hidden="false" customHeight="false" outlineLevel="0" collapsed="false">
      <c r="A131" s="4"/>
    </row>
    <row r="132" customFormat="false" ht="15.75" hidden="false" customHeight="false" outlineLevel="0" collapsed="false">
      <c r="A132" s="4"/>
    </row>
    <row r="133" customFormat="false" ht="15.75" hidden="false" customHeight="false" outlineLevel="0" collapsed="false">
      <c r="A133" s="4"/>
    </row>
    <row r="134" customFormat="false" ht="15.75" hidden="false" customHeight="false" outlineLevel="0" collapsed="false">
      <c r="A134" s="4"/>
    </row>
    <row r="135" customFormat="false" ht="15.75" hidden="false" customHeight="false" outlineLevel="0" collapsed="false">
      <c r="A135" s="4"/>
    </row>
    <row r="136" customFormat="false" ht="15.75" hidden="false" customHeight="false" outlineLevel="0" collapsed="false">
      <c r="A136" s="4"/>
    </row>
    <row r="137" customFormat="false" ht="15.75" hidden="false" customHeight="false" outlineLevel="0" collapsed="false">
      <c r="A137" s="4"/>
    </row>
    <row r="140" customFormat="false" ht="15.75" hidden="false" customHeight="false" outlineLevel="0" collapsed="false">
      <c r="A140" s="4"/>
    </row>
    <row r="141" customFormat="false" ht="15.75" hidden="false" customHeight="false" outlineLevel="0" collapsed="false">
      <c r="A141" s="4"/>
    </row>
    <row r="142" customFormat="false" ht="15.75" hidden="false" customHeight="false" outlineLevel="0" collapsed="false">
      <c r="A142" s="4"/>
    </row>
    <row r="143" customFormat="false" ht="15.75" hidden="false" customHeight="false" outlineLevel="0" collapsed="false">
      <c r="A143" s="4"/>
    </row>
    <row r="144" customFormat="false" ht="15.75" hidden="false" customHeight="false" outlineLevel="0" collapsed="false">
      <c r="A144" s="4"/>
    </row>
    <row r="145" customFormat="false" ht="15.75" hidden="false" customHeight="false" outlineLevel="0" collapsed="false">
      <c r="A145" s="4"/>
      <c r="B145" s="3"/>
    </row>
    <row r="146" customFormat="false" ht="15.75" hidden="false" customHeight="false" outlineLevel="0" collapsed="false">
      <c r="A146" s="4"/>
    </row>
    <row r="147" customFormat="false" ht="15.75" hidden="false" customHeight="false" outlineLevel="0" collapsed="false">
      <c r="A147" s="4"/>
    </row>
    <row r="148" customFormat="false" ht="15.75" hidden="false" customHeight="false" outlineLevel="0" collapsed="false">
      <c r="A148" s="4"/>
      <c r="B148" s="3"/>
    </row>
    <row r="149" customFormat="false" ht="15.75" hidden="false" customHeight="false" outlineLevel="0" collapsed="false">
      <c r="A149" s="4"/>
      <c r="B149" s="3"/>
      <c r="C149" s="3"/>
    </row>
    <row r="150" customFormat="false" ht="15.75" hidden="false" customHeight="false" outlineLevel="0" collapsed="false">
      <c r="A150" s="4"/>
      <c r="B150" s="3"/>
      <c r="C150" s="3"/>
    </row>
    <row r="151" customFormat="false" ht="15.75" hidden="false" customHeight="false" outlineLevel="0" collapsed="false">
      <c r="A151" s="4"/>
      <c r="B151" s="3"/>
    </row>
    <row r="152" customFormat="false" ht="15.75" hidden="false" customHeight="false" outlineLevel="0" collapsed="false">
      <c r="A152" s="4"/>
      <c r="B152" s="3"/>
      <c r="C152" s="3"/>
    </row>
    <row r="153" customFormat="false" ht="15.75" hidden="false" customHeight="false" outlineLevel="0" collapsed="false">
      <c r="A153" s="4"/>
      <c r="B153" s="3"/>
      <c r="C153" s="3"/>
    </row>
    <row r="154" customFormat="false" ht="15.75" hidden="false" customHeight="false" outlineLevel="0" collapsed="false">
      <c r="A154" s="4"/>
      <c r="B154" s="3"/>
      <c r="C154" s="3"/>
    </row>
    <row r="155" customFormat="false" ht="15.75" hidden="false" customHeight="false" outlineLevel="0" collapsed="false">
      <c r="A155" s="4"/>
      <c r="B155" s="3"/>
      <c r="C155" s="3"/>
    </row>
    <row r="156" customFormat="false" ht="15.75" hidden="false" customHeight="false" outlineLevel="0" collapsed="false">
      <c r="A156" s="4"/>
      <c r="B156" s="3"/>
      <c r="C156" s="3"/>
    </row>
    <row r="157" customFormat="false" ht="15.75" hidden="false" customHeight="false" outlineLevel="0" collapsed="false">
      <c r="A157" s="4"/>
      <c r="B157" s="3"/>
    </row>
    <row r="158" customFormat="false" ht="15.75" hidden="false" customHeight="false" outlineLevel="0" collapsed="false">
      <c r="A158" s="3"/>
      <c r="B158" s="3"/>
    </row>
    <row r="159" customFormat="false" ht="15.75" hidden="false" customHeight="false" outlineLevel="0" collapsed="false">
      <c r="A159" s="3"/>
      <c r="B159" s="3"/>
    </row>
    <row r="160" customFormat="false" ht="15.75" hidden="false" customHeight="false" outlineLevel="0" collapsed="false">
      <c r="A160" s="4"/>
    </row>
    <row r="161" customFormat="false" ht="15.75" hidden="false" customHeight="false" outlineLevel="0" collapsed="false">
      <c r="A161" s="4"/>
      <c r="B161" s="3"/>
    </row>
    <row r="162" customFormat="false" ht="15.75" hidden="false" customHeight="false" outlineLevel="0" collapsed="false">
      <c r="A162" s="4"/>
      <c r="B162" s="3"/>
      <c r="C162" s="3"/>
    </row>
    <row r="163" customFormat="false" ht="15.75" hidden="false" customHeight="false" outlineLevel="0" collapsed="false">
      <c r="A163" s="4"/>
      <c r="B163" s="3"/>
      <c r="C163" s="3"/>
    </row>
    <row r="164" customFormat="false" ht="15.75" hidden="false" customHeight="false" outlineLevel="0" collapsed="false">
      <c r="A164" s="4"/>
    </row>
    <row r="165" customFormat="false" ht="15.75" hidden="false" customHeight="false" outlineLevel="0" collapsed="false">
      <c r="A165" s="4"/>
      <c r="B165" s="3"/>
    </row>
    <row r="166" customFormat="false" ht="15.75" hidden="false" customHeight="false" outlineLevel="0" collapsed="false">
      <c r="A166" s="4"/>
    </row>
    <row r="167" customFormat="false" ht="15.75" hidden="false" customHeight="false" outlineLevel="0" collapsed="false">
      <c r="A167" s="4"/>
    </row>
    <row r="168" customFormat="false" ht="15.75" hidden="false" customHeight="false" outlineLevel="0" collapsed="false">
      <c r="A168" s="4"/>
      <c r="C168" s="3"/>
    </row>
    <row r="169" customFormat="false" ht="15.75" hidden="false" customHeight="false" outlineLevel="0" collapsed="false">
      <c r="A169" s="4"/>
      <c r="B169" s="3"/>
    </row>
    <row r="170" customFormat="false" ht="15.75" hidden="false" customHeight="false" outlineLevel="0" collapsed="false">
      <c r="A170" s="3"/>
      <c r="C170" s="3"/>
    </row>
    <row r="171" customFormat="false" ht="15.75" hidden="false" customHeight="false" outlineLevel="0" collapsed="false">
      <c r="A171" s="3"/>
      <c r="B171" s="3"/>
      <c r="C171" s="3"/>
    </row>
    <row r="172" customFormat="false" ht="15.75" hidden="false" customHeight="false" outlineLevel="0" collapsed="false">
      <c r="A172" s="3"/>
      <c r="B172" s="3"/>
      <c r="C172" s="3"/>
    </row>
    <row r="173" customFormat="false" ht="15.75" hidden="false" customHeight="false" outlineLevel="0" collapsed="false">
      <c r="A173" s="3"/>
      <c r="B173" s="3"/>
      <c r="C173" s="3"/>
    </row>
    <row r="174" customFormat="false" ht="15.75" hidden="false" customHeight="false" outlineLevel="0" collapsed="false">
      <c r="A174" s="3"/>
      <c r="B174" s="3"/>
      <c r="C174" s="3"/>
    </row>
    <row r="175" customFormat="false" ht="15.75" hidden="false" customHeight="false" outlineLevel="0" collapsed="false">
      <c r="A175" s="3"/>
      <c r="B175" s="3"/>
      <c r="C175" s="3"/>
    </row>
    <row r="176" customFormat="false" ht="15.75" hidden="false" customHeight="false" outlineLevel="0" collapsed="false">
      <c r="A176" s="3"/>
      <c r="B176" s="3"/>
      <c r="C176" s="3"/>
    </row>
    <row r="177" customFormat="false" ht="15.75" hidden="false" customHeight="false" outlineLevel="0" collapsed="false">
      <c r="A177" s="3"/>
      <c r="B177" s="3"/>
      <c r="C177" s="3"/>
    </row>
    <row r="178" customFormat="false" ht="15.75" hidden="false" customHeight="false" outlineLevel="0" collapsed="false">
      <c r="A178" s="3"/>
      <c r="B178" s="3"/>
      <c r="C178" s="3"/>
    </row>
    <row r="179" customFormat="false" ht="15.75" hidden="false" customHeight="false" outlineLevel="0" collapsed="false">
      <c r="A179" s="3"/>
      <c r="B179" s="3"/>
      <c r="C179" s="3"/>
    </row>
    <row r="180" customFormat="false" ht="15.75" hidden="false" customHeight="false" outlineLevel="0" collapsed="false">
      <c r="A180" s="3"/>
      <c r="B180" s="3"/>
      <c r="C180" s="3"/>
    </row>
    <row r="181" customFormat="false" ht="15.75" hidden="false" customHeight="false" outlineLevel="0" collapsed="false">
      <c r="A181" s="3"/>
      <c r="B181" s="3"/>
      <c r="C181" s="3"/>
    </row>
    <row r="182" customFormat="false" ht="15.75" hidden="false" customHeight="false" outlineLevel="0" collapsed="false">
      <c r="A182" s="3"/>
      <c r="B182" s="3"/>
      <c r="C182" s="3"/>
    </row>
    <row r="183" customFormat="false" ht="15.75" hidden="false" customHeight="false" outlineLevel="0" collapsed="false">
      <c r="A183" s="4"/>
    </row>
    <row r="184" customFormat="false" ht="15.75" hidden="false" customHeight="false" outlineLevel="0" collapsed="false">
      <c r="A184" s="4"/>
    </row>
    <row r="185" customFormat="false" ht="15.75" hidden="false" customHeight="false" outlineLevel="0" collapsed="false">
      <c r="A185" s="4"/>
      <c r="B185" s="3"/>
    </row>
    <row r="186" customFormat="false" ht="15.75" hidden="false" customHeight="false" outlineLevel="0" collapsed="false">
      <c r="A186" s="4"/>
      <c r="B186" s="3"/>
    </row>
    <row r="187" customFormat="false" ht="15.75" hidden="false" customHeight="false" outlineLevel="0" collapsed="false">
      <c r="A187" s="4"/>
    </row>
    <row r="188" customFormat="false" ht="15.75" hidden="false" customHeight="false" outlineLevel="0" collapsed="false">
      <c r="A188" s="4"/>
      <c r="B188" s="3"/>
      <c r="C188" s="3"/>
    </row>
    <row r="189" customFormat="false" ht="15.75" hidden="false" customHeight="false" outlineLevel="0" collapsed="false">
      <c r="A189" s="4"/>
      <c r="B189" s="3"/>
      <c r="C189" s="3"/>
    </row>
    <row r="190" customFormat="false" ht="15.75" hidden="false" customHeight="false" outlineLevel="0" collapsed="false">
      <c r="A190" s="4"/>
    </row>
    <row r="191" customFormat="false" ht="15.75" hidden="false" customHeight="false" outlineLevel="0" collapsed="false">
      <c r="A191" s="4"/>
      <c r="C191" s="3"/>
    </row>
    <row r="192" customFormat="false" ht="15.75" hidden="false" customHeight="false" outlineLevel="0" collapsed="false">
      <c r="A192" s="4"/>
      <c r="B192" s="3"/>
      <c r="C192" s="3"/>
    </row>
    <row r="193" customFormat="false" ht="15.75" hidden="false" customHeight="false" outlineLevel="0" collapsed="false">
      <c r="A193" s="4"/>
      <c r="B193" s="3"/>
      <c r="C193" s="3"/>
    </row>
    <row r="194" customFormat="false" ht="15.75" hidden="false" customHeight="false" outlineLevel="0" collapsed="false">
      <c r="A194" s="4"/>
      <c r="B194" s="3"/>
      <c r="C194" s="3"/>
    </row>
    <row r="195" customFormat="false" ht="15.75" hidden="false" customHeight="false" outlineLevel="0" collapsed="false">
      <c r="A195" s="4"/>
      <c r="B195" s="3"/>
      <c r="C195" s="3"/>
    </row>
    <row r="196" customFormat="false" ht="15.75" hidden="false" customHeight="false" outlineLevel="0" collapsed="false">
      <c r="A196" s="4"/>
      <c r="B196" s="3"/>
      <c r="C196" s="3"/>
    </row>
    <row r="197" customFormat="false" ht="15.75" hidden="false" customHeight="false" outlineLevel="0" collapsed="false">
      <c r="A197" s="4"/>
      <c r="B197" s="3"/>
      <c r="C197" s="3"/>
    </row>
    <row r="198" customFormat="false" ht="15.75" hidden="false" customHeight="false" outlineLevel="0" collapsed="false">
      <c r="A198" s="4"/>
      <c r="B198" s="3"/>
      <c r="C198" s="3"/>
    </row>
    <row r="199" customFormat="false" ht="15.75" hidden="false" customHeight="false" outlineLevel="0" collapsed="false">
      <c r="A199" s="4"/>
    </row>
    <row r="200" customFormat="false" ht="15.75" hidden="false" customHeight="false" outlineLevel="0" collapsed="false">
      <c r="A200" s="4"/>
      <c r="B200" s="3"/>
      <c r="C200" s="3"/>
    </row>
    <row r="201" customFormat="false" ht="15.75" hidden="false" customHeight="false" outlineLevel="0" collapsed="false">
      <c r="A201" s="4"/>
      <c r="B201" s="3"/>
      <c r="C201" s="3"/>
    </row>
    <row r="202" customFormat="false" ht="15.75" hidden="false" customHeight="false" outlineLevel="0" collapsed="false">
      <c r="A202" s="4"/>
      <c r="B202" s="3"/>
      <c r="C202" s="3"/>
    </row>
    <row r="203" customFormat="false" ht="15.75" hidden="false" customHeight="false" outlineLevel="0" collapsed="false">
      <c r="A203" s="4"/>
      <c r="B203" s="3"/>
    </row>
    <row r="204" customFormat="false" ht="15.75" hidden="false" customHeight="false" outlineLevel="0" collapsed="false">
      <c r="A204" s="4"/>
      <c r="B204" s="3"/>
      <c r="C204" s="3"/>
    </row>
    <row r="205" customFormat="false" ht="15.75" hidden="false" customHeight="false" outlineLevel="0" collapsed="false">
      <c r="A205" s="4"/>
      <c r="B205" s="3"/>
      <c r="C205" s="3"/>
    </row>
    <row r="206" customFormat="false" ht="15.75" hidden="false" customHeight="false" outlineLevel="0" collapsed="false">
      <c r="A206" s="4"/>
      <c r="C206" s="3"/>
    </row>
    <row r="207" customFormat="false" ht="15.75" hidden="false" customHeight="false" outlineLevel="0" collapsed="false">
      <c r="A207" s="4"/>
      <c r="B207" s="3"/>
      <c r="C207" s="3"/>
    </row>
    <row r="208" customFormat="false" ht="15.75" hidden="false" customHeight="false" outlineLevel="0" collapsed="false">
      <c r="A208" s="4"/>
      <c r="B208" s="3"/>
      <c r="C208" s="3"/>
    </row>
    <row r="209" customFormat="false" ht="15.75" hidden="false" customHeight="false" outlineLevel="0" collapsed="false">
      <c r="A209" s="4"/>
      <c r="B209" s="3"/>
      <c r="C209" s="3"/>
    </row>
    <row r="210" customFormat="false" ht="15.75" hidden="false" customHeight="false" outlineLevel="0" collapsed="false">
      <c r="A210" s="4"/>
      <c r="B210" s="3"/>
      <c r="C210" s="3"/>
    </row>
    <row r="211" customFormat="false" ht="15.75" hidden="false" customHeight="false" outlineLevel="0" collapsed="false">
      <c r="A211" s="4"/>
      <c r="B211" s="3"/>
      <c r="C211" s="3"/>
    </row>
    <row r="212" customFormat="false" ht="15.75" hidden="false" customHeight="false" outlineLevel="0" collapsed="false">
      <c r="A212" s="4"/>
      <c r="B212" s="3"/>
      <c r="C212" s="3"/>
    </row>
    <row r="213" customFormat="false" ht="15.75" hidden="false" customHeight="false" outlineLevel="0" collapsed="false">
      <c r="A213" s="4"/>
      <c r="B213" s="3"/>
      <c r="C213" s="3"/>
    </row>
    <row r="214" customFormat="false" ht="15.75" hidden="false" customHeight="false" outlineLevel="0" collapsed="false">
      <c r="A214" s="4"/>
      <c r="B214" s="3"/>
      <c r="C214" s="3"/>
    </row>
    <row r="215" customFormat="false" ht="15.75" hidden="false" customHeight="false" outlineLevel="0" collapsed="false">
      <c r="A215" s="4"/>
      <c r="B215" s="3"/>
      <c r="C215" s="10"/>
    </row>
    <row r="216" customFormat="false" ht="15.75" hidden="false" customHeight="false" outlineLevel="0" collapsed="false">
      <c r="A216" s="4"/>
      <c r="B216" s="3"/>
      <c r="C216" s="3"/>
    </row>
    <row r="217" customFormat="false" ht="15.75" hidden="false" customHeight="false" outlineLevel="0" collapsed="false">
      <c r="A217" s="4"/>
      <c r="B217" s="3"/>
      <c r="C217" s="3"/>
    </row>
    <row r="218" customFormat="false" ht="15.75" hidden="false" customHeight="false" outlineLevel="0" collapsed="false">
      <c r="A218" s="4"/>
      <c r="B218" s="3"/>
      <c r="C218" s="3"/>
    </row>
    <row r="219" customFormat="false" ht="15.75" hidden="false" customHeight="false" outlineLevel="0" collapsed="false">
      <c r="A219" s="4"/>
      <c r="C219" s="3"/>
    </row>
    <row r="220" customFormat="false" ht="15.75" hidden="false" customHeight="false" outlineLevel="0" collapsed="false">
      <c r="A220" s="4"/>
      <c r="B220" s="3"/>
      <c r="C220" s="3"/>
    </row>
    <row r="221" customFormat="false" ht="15.75" hidden="false" customHeight="false" outlineLevel="0" collapsed="false">
      <c r="A221" s="4"/>
      <c r="B221" s="3"/>
      <c r="C221" s="3"/>
    </row>
    <row r="222" customFormat="false" ht="15.75" hidden="false" customHeight="false" outlineLevel="0" collapsed="false">
      <c r="A222" s="4"/>
      <c r="B222" s="3"/>
      <c r="C222" s="3"/>
    </row>
    <row r="223" customFormat="false" ht="15.75" hidden="false" customHeight="false" outlineLevel="0" collapsed="false">
      <c r="A223" s="4"/>
      <c r="B223" s="3"/>
      <c r="C223" s="3"/>
    </row>
    <row r="224" customFormat="false" ht="15.75" hidden="false" customHeight="false" outlineLevel="0" collapsed="false">
      <c r="A224" s="4"/>
      <c r="B224" s="3"/>
      <c r="C224" s="3"/>
    </row>
    <row r="225" customFormat="false" ht="15.75" hidden="false" customHeight="false" outlineLevel="0" collapsed="false">
      <c r="A225" s="4"/>
      <c r="B225" s="3"/>
      <c r="C225" s="3"/>
    </row>
    <row r="226" customFormat="false" ht="15.75" hidden="false" customHeight="false" outlineLevel="0" collapsed="false">
      <c r="A226" s="4"/>
      <c r="B226" s="3"/>
      <c r="C226" s="3"/>
    </row>
    <row r="227" customFormat="false" ht="15.75" hidden="false" customHeight="false" outlineLevel="0" collapsed="false">
      <c r="A227" s="4"/>
      <c r="B227" s="3"/>
      <c r="C227" s="3"/>
    </row>
    <row r="228" customFormat="false" ht="15.75" hidden="false" customHeight="false" outlineLevel="0" collapsed="false">
      <c r="A228" s="4"/>
      <c r="B228" s="3"/>
      <c r="C228" s="3"/>
    </row>
    <row r="229" customFormat="false" ht="15.75" hidden="false" customHeight="false" outlineLevel="0" collapsed="false">
      <c r="A229" s="4"/>
      <c r="B229" s="3"/>
      <c r="C229" s="3"/>
    </row>
    <row r="230" customFormat="false" ht="15.75" hidden="false" customHeight="false" outlineLevel="0" collapsed="false">
      <c r="A230" s="10"/>
      <c r="C230" s="10"/>
    </row>
    <row r="231" customFormat="false" ht="15.75" hidden="false" customHeight="false" outlineLevel="0" collapsed="false">
      <c r="A231" s="4"/>
      <c r="B231" s="3"/>
      <c r="C231" s="3"/>
    </row>
    <row r="232" customFormat="false" ht="15.75" hidden="false" customHeight="false" outlineLevel="0" collapsed="false">
      <c r="A232" s="4"/>
      <c r="B232" s="3"/>
      <c r="C232" s="3"/>
    </row>
    <row r="233" customFormat="false" ht="15.75" hidden="false" customHeight="false" outlineLevel="0" collapsed="false">
      <c r="A233" s="4"/>
      <c r="B233" s="3"/>
      <c r="C233" s="3"/>
    </row>
    <row r="234" customFormat="false" ht="15.75" hidden="false" customHeight="false" outlineLevel="0" collapsed="false">
      <c r="A234" s="4"/>
      <c r="B234" s="3"/>
      <c r="C234" s="3"/>
    </row>
    <row r="235" customFormat="false" ht="15.75" hidden="false" customHeight="false" outlineLevel="0" collapsed="false">
      <c r="A235" s="4"/>
      <c r="B235" s="3"/>
      <c r="C235" s="3"/>
    </row>
    <row r="236" customFormat="false" ht="15.75" hidden="false" customHeight="false" outlineLevel="0" collapsed="false">
      <c r="A236" s="4"/>
      <c r="B236" s="3"/>
      <c r="C236" s="3"/>
    </row>
    <row r="237" customFormat="false" ht="15.75" hidden="false" customHeight="false" outlineLevel="0" collapsed="false">
      <c r="A237" s="4"/>
      <c r="B237" s="3"/>
    </row>
    <row r="238" customFormat="false" ht="15.75" hidden="false" customHeight="false" outlineLevel="0" collapsed="false">
      <c r="A238" s="4"/>
      <c r="B238" s="3"/>
      <c r="C238" s="3"/>
    </row>
    <row r="239" customFormat="false" ht="15.75" hidden="false" customHeight="false" outlineLevel="0" collapsed="false">
      <c r="A239" s="4"/>
      <c r="B239" s="3"/>
      <c r="C239" s="3"/>
    </row>
    <row r="240" customFormat="false" ht="15.75" hidden="false" customHeight="false" outlineLevel="0" collapsed="false">
      <c r="A240" s="4"/>
      <c r="B240" s="3"/>
      <c r="C240" s="3"/>
    </row>
    <row r="241" customFormat="false" ht="15.75" hidden="false" customHeight="false" outlineLevel="0" collapsed="false">
      <c r="A241" s="4"/>
      <c r="B241" s="3"/>
      <c r="C241" s="3"/>
    </row>
    <row r="242" customFormat="false" ht="15.75" hidden="false" customHeight="false" outlineLevel="0" collapsed="false">
      <c r="A242" s="4"/>
      <c r="B242" s="3"/>
      <c r="C242" s="3"/>
    </row>
    <row r="243" customFormat="false" ht="15.75" hidden="false" customHeight="false" outlineLevel="0" collapsed="false">
      <c r="A243" s="4"/>
      <c r="B243" s="3"/>
      <c r="C243" s="3"/>
    </row>
    <row r="244" customFormat="false" ht="15.75" hidden="false" customHeight="false" outlineLevel="0" collapsed="false">
      <c r="A244" s="4"/>
      <c r="B244" s="3"/>
      <c r="C244" s="3"/>
    </row>
    <row r="245" customFormat="false" ht="15.75" hidden="false" customHeight="false" outlineLevel="0" collapsed="false">
      <c r="A245" s="4"/>
      <c r="B245" s="3"/>
      <c r="C245" s="3"/>
    </row>
    <row r="246" customFormat="false" ht="15.75" hidden="false" customHeight="false" outlineLevel="0" collapsed="false">
      <c r="A246" s="4"/>
      <c r="B246" s="3"/>
      <c r="C246" s="3"/>
    </row>
    <row r="247" customFormat="false" ht="15.75" hidden="false" customHeight="false" outlineLevel="0" collapsed="false">
      <c r="A247" s="4"/>
      <c r="B247" s="3"/>
      <c r="C247" s="3"/>
    </row>
    <row r="248" customFormat="false" ht="15.75" hidden="false" customHeight="false" outlineLevel="0" collapsed="false">
      <c r="A248" s="4"/>
      <c r="B248" s="3"/>
      <c r="C248" s="3"/>
    </row>
    <row r="249" customFormat="false" ht="15.75" hidden="false" customHeight="false" outlineLevel="0" collapsed="false">
      <c r="A249" s="4"/>
      <c r="B249" s="3"/>
      <c r="C249" s="3"/>
    </row>
    <row r="250" customFormat="false" ht="15.75" hidden="false" customHeight="false" outlineLevel="0" collapsed="false">
      <c r="A250" s="4"/>
      <c r="B250" s="3"/>
      <c r="C250" s="3"/>
    </row>
    <row r="251" customFormat="false" ht="15.75" hidden="false" customHeight="false" outlineLevel="0" collapsed="false">
      <c r="A251" s="4"/>
      <c r="B251" s="3"/>
      <c r="C251" s="3"/>
    </row>
    <row r="252" customFormat="false" ht="15.75" hidden="false" customHeight="false" outlineLevel="0" collapsed="false">
      <c r="A252" s="4"/>
      <c r="B252" s="3"/>
      <c r="C252" s="3"/>
    </row>
    <row r="253" customFormat="false" ht="15.75" hidden="false" customHeight="false" outlineLevel="0" collapsed="false">
      <c r="A253" s="4"/>
      <c r="B253" s="3"/>
    </row>
    <row r="254" customFormat="false" ht="15.75" hidden="false" customHeight="false" outlineLevel="0" collapsed="false">
      <c r="A254" s="4"/>
      <c r="B254" s="3"/>
      <c r="C254" s="3"/>
    </row>
    <row r="255" customFormat="false" ht="15.75" hidden="false" customHeight="false" outlineLevel="0" collapsed="false">
      <c r="A255" s="4"/>
      <c r="B255" s="3"/>
    </row>
    <row r="256" customFormat="false" ht="15.75" hidden="false" customHeight="false" outlineLevel="0" collapsed="false">
      <c r="A256" s="4"/>
      <c r="B256" s="3"/>
    </row>
    <row r="257" customFormat="false" ht="15.75" hidden="false" customHeight="false" outlineLevel="0" collapsed="false">
      <c r="A257" s="4"/>
      <c r="B257" s="3"/>
      <c r="C257" s="3"/>
    </row>
    <row r="258" customFormat="false" ht="15.75" hidden="false" customHeight="false" outlineLevel="0" collapsed="false">
      <c r="A258" s="4"/>
      <c r="B258" s="3"/>
      <c r="C258" s="3"/>
    </row>
    <row r="259" customFormat="false" ht="15.75" hidden="false" customHeight="false" outlineLevel="0" collapsed="false">
      <c r="A259" s="4"/>
      <c r="B259" s="3"/>
      <c r="C259" s="3"/>
    </row>
    <row r="260" customFormat="false" ht="15.75" hidden="false" customHeight="false" outlineLevel="0" collapsed="false">
      <c r="A260" s="4"/>
      <c r="B260" s="3"/>
    </row>
    <row r="261" customFormat="false" ht="15.75" hidden="false" customHeight="false" outlineLevel="0" collapsed="false">
      <c r="A261" s="4"/>
      <c r="B261" s="3"/>
      <c r="C261" s="3"/>
    </row>
    <row r="262" customFormat="false" ht="15.75" hidden="false" customHeight="false" outlineLevel="0" collapsed="false">
      <c r="A262" s="4"/>
      <c r="B262" s="3"/>
    </row>
    <row r="263" customFormat="false" ht="15.75" hidden="false" customHeight="false" outlineLevel="0" collapsed="false">
      <c r="A263" s="4"/>
      <c r="B263" s="3"/>
      <c r="C263" s="3"/>
    </row>
    <row r="264" customFormat="false" ht="15.75" hidden="false" customHeight="false" outlineLevel="0" collapsed="false">
      <c r="A264" s="4"/>
      <c r="B264" s="3"/>
      <c r="C264" s="3"/>
    </row>
    <row r="265" customFormat="false" ht="15.75" hidden="false" customHeight="false" outlineLevel="0" collapsed="false">
      <c r="A265" s="4"/>
      <c r="B265" s="3"/>
      <c r="C265" s="3"/>
    </row>
    <row r="266" customFormat="false" ht="15.75" hidden="false" customHeight="false" outlineLevel="0" collapsed="false">
      <c r="A266" s="4"/>
      <c r="B266" s="3"/>
    </row>
    <row r="267" customFormat="false" ht="15.75" hidden="false" customHeight="false" outlineLevel="0" collapsed="false">
      <c r="A267" s="4"/>
      <c r="B267" s="3"/>
    </row>
    <row r="268" customFormat="false" ht="15.75" hidden="false" customHeight="false" outlineLevel="0" collapsed="false">
      <c r="A268" s="4"/>
      <c r="B268" s="3"/>
    </row>
    <row r="269" customFormat="false" ht="15.75" hidden="false" customHeight="false" outlineLevel="0" collapsed="false">
      <c r="A269" s="4"/>
      <c r="B269" s="3"/>
      <c r="C269" s="3"/>
    </row>
    <row r="270" customFormat="false" ht="15.75" hidden="false" customHeight="false" outlineLevel="0" collapsed="false">
      <c r="A270" s="4"/>
      <c r="B270" s="3"/>
    </row>
    <row r="271" customFormat="false" ht="15.75" hidden="false" customHeight="false" outlineLevel="0" collapsed="false">
      <c r="A271" s="4"/>
      <c r="B271" s="3"/>
      <c r="C271" s="3"/>
    </row>
    <row r="272" customFormat="false" ht="15.75" hidden="false" customHeight="false" outlineLevel="0" collapsed="false">
      <c r="A272" s="4"/>
      <c r="B272" s="3"/>
      <c r="C272" s="3"/>
    </row>
    <row r="273" customFormat="false" ht="15.75" hidden="false" customHeight="false" outlineLevel="0" collapsed="false">
      <c r="A273" s="4"/>
      <c r="B273" s="3"/>
      <c r="C273" s="3"/>
    </row>
    <row r="274" customFormat="false" ht="15.75" hidden="false" customHeight="false" outlineLevel="0" collapsed="false">
      <c r="A274" s="4"/>
      <c r="B274" s="3"/>
      <c r="C274" s="3"/>
    </row>
    <row r="275" customFormat="false" ht="15.75" hidden="false" customHeight="false" outlineLevel="0" collapsed="false">
      <c r="A275" s="4"/>
      <c r="B275" s="3"/>
      <c r="C275" s="3"/>
    </row>
    <row r="276" customFormat="false" ht="15.75" hidden="false" customHeight="false" outlineLevel="0" collapsed="false">
      <c r="A276" s="4"/>
      <c r="B276" s="3"/>
      <c r="C276" s="3"/>
    </row>
    <row r="277" customFormat="false" ht="15.75" hidden="false" customHeight="false" outlineLevel="0" collapsed="false">
      <c r="A277" s="4"/>
      <c r="B277" s="3"/>
      <c r="C277" s="3"/>
    </row>
    <row r="278" customFormat="false" ht="15.75" hidden="false" customHeight="false" outlineLevel="0" collapsed="false">
      <c r="A278" s="4"/>
      <c r="B278" s="3"/>
      <c r="C278" s="3"/>
    </row>
    <row r="279" customFormat="false" ht="15.75" hidden="false" customHeight="false" outlineLevel="0" collapsed="false">
      <c r="A279" s="4"/>
      <c r="B279" s="3"/>
      <c r="C279" s="3"/>
    </row>
    <row r="280" customFormat="false" ht="15.75" hidden="false" customHeight="false" outlineLevel="0" collapsed="false">
      <c r="A280" s="4"/>
      <c r="B280" s="3"/>
      <c r="C280" s="3"/>
    </row>
    <row r="281" customFormat="false" ht="15.75" hidden="false" customHeight="false" outlineLevel="0" collapsed="false">
      <c r="A281" s="4"/>
      <c r="B281" s="3"/>
      <c r="C281" s="3"/>
    </row>
    <row r="282" customFormat="false" ht="15.75" hidden="false" customHeight="false" outlineLevel="0" collapsed="false">
      <c r="A282" s="4"/>
      <c r="B282" s="3"/>
      <c r="C282" s="3"/>
    </row>
    <row r="283" customFormat="false" ht="15.75" hidden="false" customHeight="false" outlineLevel="0" collapsed="false">
      <c r="A283" s="4"/>
      <c r="B283" s="3"/>
      <c r="C283" s="3"/>
    </row>
    <row r="284" customFormat="false" ht="15.75" hidden="false" customHeight="false" outlineLevel="0" collapsed="false">
      <c r="A284" s="4"/>
      <c r="B284" s="3"/>
      <c r="C284" s="3"/>
    </row>
    <row r="285" customFormat="false" ht="15.75" hidden="false" customHeight="false" outlineLevel="0" collapsed="false">
      <c r="A285" s="4"/>
      <c r="B285" s="3"/>
      <c r="C285" s="3"/>
    </row>
    <row r="286" customFormat="false" ht="15.75" hidden="false" customHeight="false" outlineLevel="0" collapsed="false">
      <c r="A286" s="4"/>
      <c r="B286" s="3"/>
      <c r="C286" s="3"/>
    </row>
    <row r="287" customFormat="false" ht="15.75" hidden="false" customHeight="false" outlineLevel="0" collapsed="false">
      <c r="A287" s="4"/>
      <c r="B287" s="3"/>
      <c r="C287" s="3"/>
    </row>
    <row r="288" customFormat="false" ht="15.75" hidden="false" customHeight="false" outlineLevel="0" collapsed="false">
      <c r="A288" s="4"/>
      <c r="B288" s="3"/>
      <c r="C288" s="3"/>
    </row>
    <row r="289" customFormat="false" ht="15.75" hidden="false" customHeight="false" outlineLevel="0" collapsed="false">
      <c r="A289" s="4"/>
      <c r="B289" s="3"/>
      <c r="C289" s="3"/>
    </row>
    <row r="290" customFormat="false" ht="15.75" hidden="false" customHeight="false" outlineLevel="0" collapsed="false">
      <c r="A290" s="4"/>
      <c r="B290" s="3"/>
      <c r="C290" s="3"/>
    </row>
    <row r="291" customFormat="false" ht="15.75" hidden="false" customHeight="false" outlineLevel="0" collapsed="false">
      <c r="A291" s="4"/>
      <c r="B291" s="3"/>
      <c r="C291" s="3"/>
    </row>
    <row r="292" customFormat="false" ht="15.75" hidden="false" customHeight="false" outlineLevel="0" collapsed="false">
      <c r="A292" s="4"/>
      <c r="B292" s="3"/>
      <c r="C292" s="3"/>
    </row>
    <row r="293" customFormat="false" ht="15.75" hidden="false" customHeight="false" outlineLevel="0" collapsed="false">
      <c r="A293" s="4"/>
      <c r="B293" s="3"/>
      <c r="C293" s="3"/>
    </row>
    <row r="294" customFormat="false" ht="15.75" hidden="false" customHeight="false" outlineLevel="0" collapsed="false">
      <c r="A294" s="4"/>
      <c r="B294" s="3"/>
      <c r="C294" s="3"/>
    </row>
    <row r="295" customFormat="false" ht="15.75" hidden="false" customHeight="false" outlineLevel="0" collapsed="false">
      <c r="A295" s="4"/>
      <c r="B295" s="3"/>
      <c r="C295" s="3"/>
    </row>
    <row r="296" customFormat="false" ht="15.75" hidden="false" customHeight="false" outlineLevel="0" collapsed="false">
      <c r="A296" s="4"/>
      <c r="B296" s="3"/>
      <c r="C296" s="3"/>
    </row>
    <row r="297" customFormat="false" ht="15.75" hidden="false" customHeight="false" outlineLevel="0" collapsed="false">
      <c r="A297" s="4"/>
      <c r="B297" s="3"/>
      <c r="C297" s="3"/>
    </row>
    <row r="298" customFormat="false" ht="15.75" hidden="false" customHeight="false" outlineLevel="0" collapsed="false">
      <c r="A298" s="4"/>
      <c r="B298" s="3"/>
      <c r="C298" s="3"/>
    </row>
    <row r="299" customFormat="false" ht="15.75" hidden="false" customHeight="false" outlineLevel="0" collapsed="false">
      <c r="A299" s="4"/>
      <c r="B299" s="3"/>
      <c r="C299" s="3"/>
    </row>
    <row r="300" customFormat="false" ht="15.75" hidden="false" customHeight="false" outlineLevel="0" collapsed="false">
      <c r="A300" s="4"/>
      <c r="B300" s="3"/>
      <c r="C300" s="3"/>
    </row>
    <row r="301" customFormat="false" ht="15.75" hidden="false" customHeight="false" outlineLevel="0" collapsed="false">
      <c r="A301" s="4"/>
      <c r="B301" s="3"/>
      <c r="C301" s="3"/>
    </row>
    <row r="302" customFormat="false" ht="15.75" hidden="false" customHeight="false" outlineLevel="0" collapsed="false">
      <c r="A302" s="4"/>
      <c r="B302" s="3"/>
      <c r="C302" s="3"/>
    </row>
    <row r="303" customFormat="false" ht="15.75" hidden="false" customHeight="false" outlineLevel="0" collapsed="false">
      <c r="A303" s="4"/>
      <c r="B303" s="3"/>
      <c r="C303" s="3"/>
    </row>
    <row r="304" customFormat="false" ht="15.75" hidden="false" customHeight="false" outlineLevel="0" collapsed="false">
      <c r="A304" s="4"/>
      <c r="B304" s="3"/>
      <c r="C304" s="3"/>
    </row>
    <row r="305" customFormat="false" ht="15.75" hidden="false" customHeight="false" outlineLevel="0" collapsed="false">
      <c r="A305" s="4"/>
      <c r="B305" s="3"/>
      <c r="C305" s="3"/>
    </row>
    <row r="306" customFormat="false" ht="15.75" hidden="false" customHeight="false" outlineLevel="0" collapsed="false">
      <c r="A306" s="4"/>
      <c r="B306" s="3"/>
      <c r="C306" s="3"/>
    </row>
    <row r="307" customFormat="false" ht="15.75" hidden="false" customHeight="false" outlineLevel="0" collapsed="false">
      <c r="A307" s="4"/>
      <c r="B307" s="3"/>
      <c r="C307" s="3"/>
    </row>
    <row r="308" customFormat="false" ht="15.75" hidden="false" customHeight="false" outlineLevel="0" collapsed="false">
      <c r="A308" s="4"/>
      <c r="B308" s="3"/>
      <c r="C308" s="3"/>
    </row>
    <row r="309" customFormat="false" ht="15.75" hidden="false" customHeight="false" outlineLevel="0" collapsed="false">
      <c r="A309" s="4"/>
      <c r="B309" s="3"/>
      <c r="C309" s="3"/>
    </row>
    <row r="310" customFormat="false" ht="15.75" hidden="false" customHeight="false" outlineLevel="0" collapsed="false">
      <c r="A310" s="4"/>
      <c r="B310" s="3"/>
      <c r="C310" s="3"/>
    </row>
    <row r="311" customFormat="false" ht="15.75" hidden="false" customHeight="false" outlineLevel="0" collapsed="false">
      <c r="A311" s="4"/>
      <c r="B311" s="3"/>
      <c r="C311" s="3"/>
    </row>
    <row r="312" customFormat="false" ht="15.75" hidden="false" customHeight="false" outlineLevel="0" collapsed="false">
      <c r="A312" s="4"/>
      <c r="B312" s="3"/>
      <c r="C312" s="3"/>
    </row>
    <row r="313" customFormat="false" ht="15.75" hidden="false" customHeight="false" outlineLevel="0" collapsed="false">
      <c r="A313" s="4"/>
      <c r="B313" s="3"/>
      <c r="C313" s="3"/>
    </row>
    <row r="314" customFormat="false" ht="15.75" hidden="false" customHeight="false" outlineLevel="0" collapsed="false">
      <c r="A314" s="4"/>
      <c r="B314" s="3"/>
      <c r="C314" s="3"/>
    </row>
    <row r="315" customFormat="false" ht="15.75" hidden="false" customHeight="false" outlineLevel="0" collapsed="false">
      <c r="A315" s="4"/>
      <c r="B315" s="3"/>
      <c r="C315" s="3"/>
    </row>
    <row r="316" customFormat="false" ht="15.75" hidden="false" customHeight="false" outlineLevel="0" collapsed="false">
      <c r="A316" s="4"/>
      <c r="B316" s="3"/>
      <c r="C316" s="3"/>
    </row>
    <row r="317" customFormat="false" ht="15.75" hidden="false" customHeight="false" outlineLevel="0" collapsed="false">
      <c r="A317" s="4"/>
      <c r="B317" s="3"/>
      <c r="C317" s="3"/>
    </row>
    <row r="318" customFormat="false" ht="15.75" hidden="false" customHeight="false" outlineLevel="0" collapsed="false">
      <c r="A318" s="4"/>
      <c r="B318" s="3"/>
      <c r="C318" s="3"/>
    </row>
    <row r="319" customFormat="false" ht="15.75" hidden="false" customHeight="false" outlineLevel="0" collapsed="false">
      <c r="A319" s="4"/>
      <c r="B319" s="3"/>
      <c r="C319" s="3"/>
    </row>
    <row r="320" customFormat="false" ht="15.75" hidden="false" customHeight="false" outlineLevel="0" collapsed="false">
      <c r="A320" s="4"/>
      <c r="B320" s="3"/>
      <c r="C320" s="3"/>
    </row>
    <row r="321" customFormat="false" ht="15.75" hidden="false" customHeight="false" outlineLevel="0" collapsed="false">
      <c r="A321" s="4"/>
      <c r="B321" s="3"/>
      <c r="C321" s="3"/>
    </row>
    <row r="322" customFormat="false" ht="15.75" hidden="false" customHeight="false" outlineLevel="0" collapsed="false">
      <c r="A322" s="4"/>
      <c r="B322" s="3"/>
      <c r="C322" s="3"/>
    </row>
    <row r="323" customFormat="false" ht="15.75" hidden="false" customHeight="false" outlineLevel="0" collapsed="false">
      <c r="A323" s="4"/>
      <c r="B323" s="3"/>
      <c r="C323" s="3"/>
    </row>
    <row r="324" customFormat="false" ht="15.75" hidden="false" customHeight="false" outlineLevel="0" collapsed="false">
      <c r="A324" s="4"/>
      <c r="B324" s="3"/>
      <c r="C324" s="3"/>
    </row>
    <row r="325" customFormat="false" ht="15.75" hidden="false" customHeight="false" outlineLevel="0" collapsed="false">
      <c r="A325" s="4"/>
      <c r="B325" s="3"/>
      <c r="C325" s="3"/>
    </row>
    <row r="326" customFormat="false" ht="15.75" hidden="false" customHeight="false" outlineLevel="0" collapsed="false">
      <c r="A326" s="4"/>
      <c r="B326" s="3"/>
      <c r="C326" s="3"/>
    </row>
    <row r="327" customFormat="false" ht="15.75" hidden="false" customHeight="false" outlineLevel="0" collapsed="false">
      <c r="A327" s="4"/>
      <c r="B327" s="3"/>
      <c r="C327" s="3"/>
    </row>
    <row r="328" customFormat="false" ht="15.75" hidden="false" customHeight="false" outlineLevel="0" collapsed="false">
      <c r="A328" s="4"/>
      <c r="B328" s="3"/>
      <c r="C328" s="3"/>
    </row>
    <row r="329" customFormat="false" ht="15.75" hidden="false" customHeight="false" outlineLevel="0" collapsed="false">
      <c r="A329" s="4"/>
      <c r="B329" s="3"/>
      <c r="C329" s="3"/>
    </row>
    <row r="330" customFormat="false" ht="15.75" hidden="false" customHeight="false" outlineLevel="0" collapsed="false">
      <c r="A330" s="4"/>
      <c r="B330" s="3"/>
      <c r="C330" s="3"/>
    </row>
    <row r="331" customFormat="false" ht="15.75" hidden="false" customHeight="false" outlineLevel="0" collapsed="false">
      <c r="A331" s="4"/>
      <c r="B331" s="3"/>
      <c r="C331" s="3"/>
    </row>
    <row r="332" customFormat="false" ht="15.75" hidden="false" customHeight="false" outlineLevel="0" collapsed="false">
      <c r="A332" s="4"/>
      <c r="B332" s="3"/>
      <c r="C332" s="3"/>
    </row>
    <row r="333" customFormat="false" ht="15.75" hidden="false" customHeight="false" outlineLevel="0" collapsed="false">
      <c r="A333" s="4"/>
      <c r="B333" s="3"/>
      <c r="C333" s="3"/>
    </row>
    <row r="334" customFormat="false" ht="15.75" hidden="false" customHeight="false" outlineLevel="0" collapsed="false">
      <c r="A334" s="4"/>
      <c r="B334" s="3"/>
      <c r="C334" s="3"/>
    </row>
    <row r="335" customFormat="false" ht="15.75" hidden="false" customHeight="false" outlineLevel="0" collapsed="false">
      <c r="A335" s="4"/>
      <c r="B335" s="3"/>
      <c r="C335" s="3"/>
    </row>
    <row r="336" customFormat="false" ht="15.75" hidden="false" customHeight="false" outlineLevel="0" collapsed="false">
      <c r="A336" s="4"/>
      <c r="B336" s="3"/>
      <c r="C336" s="3"/>
    </row>
    <row r="337" customFormat="false" ht="15.75" hidden="false" customHeight="false" outlineLevel="0" collapsed="false">
      <c r="A337" s="4"/>
      <c r="B337" s="3"/>
      <c r="C337" s="3"/>
    </row>
    <row r="338" customFormat="false" ht="15.75" hidden="false" customHeight="false" outlineLevel="0" collapsed="false">
      <c r="A338" s="4"/>
      <c r="B338" s="3"/>
      <c r="C338" s="3"/>
    </row>
    <row r="339" customFormat="false" ht="15.75" hidden="false" customHeight="false" outlineLevel="0" collapsed="false">
      <c r="A339" s="4"/>
      <c r="B339" s="3"/>
      <c r="C339" s="3"/>
    </row>
    <row r="340" customFormat="false" ht="15.75" hidden="false" customHeight="false" outlineLevel="0" collapsed="false">
      <c r="A340" s="4"/>
      <c r="B340" s="3"/>
      <c r="C340" s="3"/>
    </row>
    <row r="341" customFormat="false" ht="15.75" hidden="false" customHeight="false" outlineLevel="0" collapsed="false">
      <c r="A341" s="4"/>
      <c r="B341" s="3"/>
      <c r="C341" s="3"/>
    </row>
    <row r="342" customFormat="false" ht="15.75" hidden="false" customHeight="false" outlineLevel="0" collapsed="false">
      <c r="A342" s="4"/>
      <c r="B342" s="3"/>
      <c r="C342" s="3"/>
    </row>
    <row r="343" customFormat="false" ht="15.75" hidden="false" customHeight="false" outlineLevel="0" collapsed="false">
      <c r="A343" s="4"/>
      <c r="B343" s="3"/>
      <c r="C343" s="3"/>
    </row>
    <row r="344" customFormat="false" ht="15.75" hidden="false" customHeight="false" outlineLevel="0" collapsed="false">
      <c r="A344" s="4"/>
      <c r="B344" s="3"/>
      <c r="C344" s="3"/>
    </row>
    <row r="345" customFormat="false" ht="15.75" hidden="false" customHeight="false" outlineLevel="0" collapsed="false">
      <c r="A345" s="4"/>
      <c r="B345" s="3"/>
      <c r="C345" s="3"/>
    </row>
    <row r="346" customFormat="false" ht="15.75" hidden="false" customHeight="false" outlineLevel="0" collapsed="false">
      <c r="A346" s="4"/>
      <c r="B346" s="3"/>
      <c r="C346" s="3"/>
    </row>
    <row r="347" customFormat="false" ht="15.75" hidden="false" customHeight="false" outlineLevel="0" collapsed="false">
      <c r="A347" s="4"/>
      <c r="B347" s="3"/>
      <c r="C347" s="3"/>
    </row>
    <row r="348" customFormat="false" ht="15.75" hidden="false" customHeight="false" outlineLevel="0" collapsed="false">
      <c r="A348" s="4"/>
      <c r="B348" s="3"/>
      <c r="C348" s="3"/>
    </row>
    <row r="349" customFormat="false" ht="15.75" hidden="false" customHeight="false" outlineLevel="0" collapsed="false">
      <c r="A349" s="4"/>
      <c r="B349" s="3"/>
      <c r="C349" s="3"/>
    </row>
    <row r="350" customFormat="false" ht="15.75" hidden="false" customHeight="false" outlineLevel="0" collapsed="false">
      <c r="A350" s="4"/>
      <c r="B350" s="3"/>
      <c r="C350" s="3"/>
    </row>
    <row r="351" customFormat="false" ht="15.75" hidden="false" customHeight="false" outlineLevel="0" collapsed="false">
      <c r="A351" s="4"/>
      <c r="B351" s="3"/>
      <c r="C351" s="3"/>
    </row>
    <row r="352" customFormat="false" ht="15.75" hidden="false" customHeight="false" outlineLevel="0" collapsed="false">
      <c r="A352" s="4"/>
      <c r="B352" s="3"/>
      <c r="C352" s="3"/>
    </row>
    <row r="353" customFormat="false" ht="15.75" hidden="false" customHeight="false" outlineLevel="0" collapsed="false">
      <c r="A353" s="4"/>
      <c r="B353" s="3"/>
      <c r="C353" s="3"/>
    </row>
    <row r="354" customFormat="false" ht="15.75" hidden="false" customHeight="false" outlineLevel="0" collapsed="false">
      <c r="A354" s="4"/>
      <c r="B354" s="3"/>
      <c r="C354" s="3"/>
    </row>
    <row r="355" customFormat="false" ht="15.75" hidden="false" customHeight="false" outlineLevel="0" collapsed="false">
      <c r="A355" s="4"/>
      <c r="B355" s="3"/>
      <c r="C355" s="3"/>
    </row>
    <row r="356" customFormat="false" ht="15.75" hidden="false" customHeight="false" outlineLevel="0" collapsed="false">
      <c r="A356" s="4"/>
      <c r="B356" s="3"/>
      <c r="C356" s="3"/>
    </row>
    <row r="357" customFormat="false" ht="15.75" hidden="false" customHeight="false" outlineLevel="0" collapsed="false">
      <c r="A357" s="4"/>
      <c r="B357" s="3"/>
      <c r="C357" s="3"/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4"/>
      <c r="B362" s="3"/>
      <c r="C362" s="3"/>
    </row>
    <row r="363" customFormat="false" ht="15.75" hidden="false" customHeight="false" outlineLevel="0" collapsed="false">
      <c r="A363" s="4"/>
      <c r="B363" s="3"/>
      <c r="C363" s="3"/>
    </row>
    <row r="364" customFormat="false" ht="15.75" hidden="false" customHeight="false" outlineLevel="0" collapsed="false">
      <c r="A364" s="4"/>
      <c r="B364" s="3"/>
      <c r="C364" s="3"/>
    </row>
    <row r="365" customFormat="false" ht="15.75" hidden="false" customHeight="false" outlineLevel="0" collapsed="false">
      <c r="A365" s="4"/>
      <c r="B365" s="3"/>
      <c r="C365" s="3"/>
    </row>
    <row r="366" customFormat="false" ht="15.75" hidden="false" customHeight="false" outlineLevel="0" collapsed="false">
      <c r="A366" s="4"/>
      <c r="B366" s="3"/>
      <c r="C366" s="3"/>
    </row>
    <row r="367" customFormat="false" ht="15.75" hidden="false" customHeight="false" outlineLevel="0" collapsed="false">
      <c r="A367" s="4"/>
      <c r="B367" s="3"/>
      <c r="C367" s="3"/>
    </row>
    <row r="368" customFormat="false" ht="15.75" hidden="false" customHeight="false" outlineLevel="0" collapsed="false">
      <c r="A368" s="4"/>
      <c r="B368" s="3"/>
      <c r="C368" s="3"/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4"/>
      <c r="B372" s="3"/>
      <c r="C372" s="3"/>
    </row>
    <row r="373" customFormat="false" ht="15.75" hidden="false" customHeight="false" outlineLevel="0" collapsed="false">
      <c r="A373" s="4"/>
      <c r="B373" s="3"/>
      <c r="C373" s="3"/>
    </row>
    <row r="374" customFormat="false" ht="15.75" hidden="false" customHeight="false" outlineLevel="0" collapsed="false">
      <c r="A374" s="4"/>
      <c r="B374" s="3"/>
      <c r="C374" s="3"/>
    </row>
    <row r="375" customFormat="false" ht="15.75" hidden="false" customHeight="false" outlineLevel="0" collapsed="false">
      <c r="A375" s="4"/>
      <c r="B375" s="3"/>
      <c r="C375" s="3"/>
    </row>
    <row r="376" customFormat="false" ht="15.75" hidden="false" customHeight="false" outlineLevel="0" collapsed="false">
      <c r="A376" s="4"/>
      <c r="B376" s="3"/>
      <c r="C376" s="3"/>
    </row>
    <row r="377" customFormat="false" ht="15.75" hidden="false" customHeight="false" outlineLevel="0" collapsed="false">
      <c r="A377" s="4"/>
      <c r="B377" s="3"/>
      <c r="C377" s="3"/>
    </row>
    <row r="378" customFormat="false" ht="15.75" hidden="false" customHeight="false" outlineLevel="0" collapsed="false">
      <c r="A378" s="4"/>
      <c r="B378" s="3"/>
      <c r="C378" s="3"/>
    </row>
    <row r="379" customFormat="false" ht="15.75" hidden="false" customHeight="false" outlineLevel="0" collapsed="false">
      <c r="A379" s="4"/>
      <c r="B379" s="3"/>
      <c r="C379" s="3"/>
    </row>
    <row r="380" customFormat="false" ht="15.75" hidden="false" customHeight="false" outlineLevel="0" collapsed="false">
      <c r="A380" s="4"/>
      <c r="B380" s="3"/>
      <c r="C380" s="3"/>
    </row>
    <row r="381" customFormat="false" ht="15.75" hidden="false" customHeight="false" outlineLevel="0" collapsed="false">
      <c r="A381" s="4"/>
      <c r="B381" s="3"/>
      <c r="C381" s="3"/>
    </row>
    <row r="382" customFormat="false" ht="15.75" hidden="false" customHeight="false" outlineLevel="0" collapsed="false">
      <c r="A382" s="4"/>
      <c r="B382" s="3"/>
      <c r="C382" s="3"/>
    </row>
    <row r="383" customFormat="false" ht="15.75" hidden="false" customHeight="false" outlineLevel="0" collapsed="false">
      <c r="A383" s="4"/>
      <c r="B383" s="3"/>
      <c r="C383" s="3"/>
    </row>
    <row r="384" customFormat="false" ht="15.75" hidden="false" customHeight="false" outlineLevel="0" collapsed="false">
      <c r="A384" s="4"/>
      <c r="B384" s="3"/>
      <c r="C384" s="3"/>
    </row>
    <row r="385" customFormat="false" ht="15.75" hidden="false" customHeight="false" outlineLevel="0" collapsed="false">
      <c r="A385" s="4"/>
      <c r="B385" s="3"/>
      <c r="C385" s="3"/>
    </row>
    <row r="386" customFormat="false" ht="15.75" hidden="false" customHeight="false" outlineLevel="0" collapsed="false">
      <c r="A386" s="4"/>
      <c r="B386" s="3"/>
      <c r="C386" s="3"/>
    </row>
    <row r="387" customFormat="false" ht="15.75" hidden="false" customHeight="false" outlineLevel="0" collapsed="false">
      <c r="A387" s="4"/>
      <c r="B387" s="3"/>
      <c r="C387" s="3"/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</row>
    <row r="395" customFormat="false" ht="15.75" hidden="false" customHeight="false" outlineLevel="0" collapsed="false">
      <c r="A395" s="4"/>
      <c r="B395" s="3"/>
      <c r="C395" s="3"/>
    </row>
    <row r="396" customFormat="false" ht="15.75" hidden="false" customHeight="false" outlineLevel="0" collapsed="false">
      <c r="A396" s="4"/>
      <c r="B396" s="3"/>
      <c r="C396" s="3"/>
    </row>
    <row r="397" customFormat="false" ht="15.75" hidden="false" customHeight="false" outlineLevel="0" collapsed="false">
      <c r="A397" s="4"/>
      <c r="B397" s="3"/>
      <c r="C397" s="3"/>
    </row>
    <row r="398" customFormat="false" ht="15.75" hidden="false" customHeight="false" outlineLevel="0" collapsed="false">
      <c r="A398" s="4"/>
      <c r="B398" s="3"/>
      <c r="C398" s="3"/>
    </row>
    <row r="399" customFormat="false" ht="15.75" hidden="false" customHeight="false" outlineLevel="0" collapsed="false">
      <c r="A399" s="4"/>
      <c r="B399" s="3"/>
      <c r="C399" s="3"/>
    </row>
    <row r="400" customFormat="false" ht="15.75" hidden="false" customHeight="false" outlineLevel="0" collapsed="false">
      <c r="A400" s="4"/>
      <c r="B400" s="3"/>
      <c r="C400" s="3"/>
    </row>
    <row r="401" customFormat="false" ht="15.75" hidden="false" customHeight="false" outlineLevel="0" collapsed="false">
      <c r="A401" s="4"/>
      <c r="B401" s="3"/>
      <c r="C401" s="3"/>
    </row>
    <row r="402" customFormat="false" ht="15.75" hidden="false" customHeight="false" outlineLevel="0" collapsed="false">
      <c r="A402" s="4"/>
      <c r="B402" s="3"/>
      <c r="C402" s="3"/>
    </row>
    <row r="403" customFormat="false" ht="15.75" hidden="false" customHeight="false" outlineLevel="0" collapsed="false">
      <c r="A403" s="4"/>
      <c r="B403" s="3"/>
      <c r="C403" s="3"/>
    </row>
    <row r="404" customFormat="false" ht="15.75" hidden="false" customHeight="false" outlineLevel="0" collapsed="false">
      <c r="A404" s="4"/>
      <c r="B404" s="3"/>
      <c r="C404" s="3"/>
    </row>
    <row r="405" customFormat="false" ht="15.75" hidden="false" customHeight="false" outlineLevel="0" collapsed="false">
      <c r="A405" s="4"/>
      <c r="B405" s="3"/>
      <c r="C405" s="3"/>
    </row>
    <row r="406" customFormat="false" ht="15.75" hidden="false" customHeight="false" outlineLevel="0" collapsed="false">
      <c r="A406" s="4"/>
      <c r="B406" s="3"/>
      <c r="C406" s="3"/>
    </row>
    <row r="407" customFormat="false" ht="15.75" hidden="false" customHeight="false" outlineLevel="0" collapsed="false">
      <c r="A407" s="4"/>
      <c r="B407" s="3"/>
      <c r="C407" s="3"/>
    </row>
    <row r="408" customFormat="false" ht="15.75" hidden="false" customHeight="false" outlineLevel="0" collapsed="false">
      <c r="A408" s="4"/>
      <c r="B408" s="3"/>
      <c r="C408" s="3"/>
    </row>
    <row r="409" customFormat="false" ht="15.75" hidden="false" customHeight="false" outlineLevel="0" collapsed="false">
      <c r="A409" s="4"/>
      <c r="B409" s="3"/>
      <c r="C409" s="3"/>
    </row>
    <row r="410" customFormat="false" ht="15.75" hidden="false" customHeight="false" outlineLevel="0" collapsed="false">
      <c r="A410" s="4"/>
      <c r="B410" s="3"/>
      <c r="C410" s="3"/>
    </row>
    <row r="411" customFormat="false" ht="15.75" hidden="false" customHeight="false" outlineLevel="0" collapsed="false">
      <c r="A411" s="4"/>
      <c r="B411" s="3"/>
      <c r="C411" s="3"/>
    </row>
    <row r="412" customFormat="false" ht="15.75" hidden="false" customHeight="false" outlineLevel="0" collapsed="false">
      <c r="A412" s="4"/>
      <c r="B412" s="3"/>
      <c r="C412" s="3"/>
    </row>
    <row r="413" customFormat="false" ht="15.75" hidden="false" customHeight="false" outlineLevel="0" collapsed="false">
      <c r="A413" s="4"/>
      <c r="B413" s="3"/>
      <c r="C413" s="3"/>
    </row>
    <row r="414" customFormat="false" ht="15.75" hidden="false" customHeight="false" outlineLevel="0" collapsed="false">
      <c r="A414" s="4"/>
      <c r="B414" s="3"/>
      <c r="C414" s="3"/>
    </row>
    <row r="415" customFormat="false" ht="15.75" hidden="false" customHeight="false" outlineLevel="0" collapsed="false">
      <c r="A415" s="4"/>
      <c r="B415" s="3"/>
      <c r="C415" s="3"/>
    </row>
    <row r="416" customFormat="false" ht="15.75" hidden="false" customHeight="false" outlineLevel="0" collapsed="false">
      <c r="A416" s="4"/>
      <c r="B416" s="3"/>
      <c r="C416" s="3"/>
    </row>
    <row r="417" customFormat="false" ht="15.75" hidden="false" customHeight="false" outlineLevel="0" collapsed="false">
      <c r="A417" s="4"/>
      <c r="B417" s="3"/>
      <c r="C417" s="3"/>
    </row>
    <row r="418" customFormat="false" ht="15.75" hidden="false" customHeight="false" outlineLevel="0" collapsed="false">
      <c r="A418" s="4"/>
      <c r="B418" s="3"/>
      <c r="C418" s="3"/>
    </row>
    <row r="419" customFormat="false" ht="15.75" hidden="false" customHeight="false" outlineLevel="0" collapsed="false">
      <c r="A419" s="4"/>
      <c r="B419" s="3"/>
      <c r="C419" s="3"/>
    </row>
    <row r="420" customFormat="false" ht="15.75" hidden="false" customHeight="false" outlineLevel="0" collapsed="false">
      <c r="A420" s="4"/>
      <c r="B420" s="3"/>
      <c r="C420" s="3"/>
    </row>
    <row r="421" customFormat="false" ht="15.75" hidden="false" customHeight="false" outlineLevel="0" collapsed="false">
      <c r="A421" s="4"/>
      <c r="B421" s="3"/>
      <c r="C421" s="3"/>
    </row>
    <row r="422" customFormat="false" ht="15.75" hidden="false" customHeight="false" outlineLevel="0" collapsed="false">
      <c r="A422" s="4"/>
      <c r="B422" s="3"/>
      <c r="C422" s="3"/>
    </row>
    <row r="423" customFormat="false" ht="15.75" hidden="false" customHeight="false" outlineLevel="0" collapsed="false">
      <c r="A423" s="4"/>
      <c r="B423" s="3"/>
      <c r="C423" s="3"/>
    </row>
    <row r="424" customFormat="false" ht="15.75" hidden="false" customHeight="false" outlineLevel="0" collapsed="false">
      <c r="A424" s="4"/>
      <c r="B424" s="3"/>
      <c r="C424" s="3"/>
    </row>
    <row r="425" customFormat="false" ht="15.75" hidden="false" customHeight="false" outlineLevel="0" collapsed="false">
      <c r="A425" s="4"/>
      <c r="B425" s="3"/>
      <c r="C425" s="3"/>
    </row>
    <row r="426" customFormat="false" ht="15.75" hidden="false" customHeight="false" outlineLevel="0" collapsed="false">
      <c r="A426" s="4"/>
      <c r="B426" s="3"/>
      <c r="C426" s="3"/>
    </row>
    <row r="427" customFormat="false" ht="15.75" hidden="false" customHeight="false" outlineLevel="0" collapsed="false">
      <c r="A427" s="4"/>
      <c r="B427" s="3"/>
      <c r="C427" s="3"/>
    </row>
    <row r="428" customFormat="false" ht="15.75" hidden="false" customHeight="false" outlineLevel="0" collapsed="false">
      <c r="A428" s="4"/>
      <c r="B428" s="3"/>
      <c r="C428" s="3"/>
    </row>
    <row r="429" customFormat="false" ht="15.75" hidden="false" customHeight="false" outlineLevel="0" collapsed="false">
      <c r="A429" s="4"/>
      <c r="B429" s="3"/>
      <c r="C429" s="3"/>
    </row>
    <row r="430" customFormat="false" ht="15.75" hidden="false" customHeight="false" outlineLevel="0" collapsed="false">
      <c r="A430" s="4"/>
      <c r="B430" s="3"/>
      <c r="C430" s="3"/>
    </row>
    <row r="431" customFormat="false" ht="15.75" hidden="false" customHeight="false" outlineLevel="0" collapsed="false">
      <c r="A431" s="4"/>
      <c r="B431" s="3"/>
      <c r="C431" s="3"/>
    </row>
    <row r="432" customFormat="false" ht="15.75" hidden="false" customHeight="false" outlineLevel="0" collapsed="false">
      <c r="A432" s="4"/>
      <c r="B432" s="3"/>
      <c r="C432" s="3"/>
    </row>
    <row r="433" customFormat="false" ht="15.75" hidden="false" customHeight="false" outlineLevel="0" collapsed="false">
      <c r="A433" s="4"/>
      <c r="B433" s="3"/>
      <c r="C433" s="3"/>
    </row>
    <row r="434" customFormat="false" ht="15.75" hidden="false" customHeight="false" outlineLevel="0" collapsed="false">
      <c r="A434" s="4"/>
      <c r="B434" s="3"/>
      <c r="C434" s="3"/>
    </row>
    <row r="435" customFormat="false" ht="15.75" hidden="false" customHeight="false" outlineLevel="0" collapsed="false">
      <c r="A435" s="4"/>
      <c r="B435" s="3"/>
      <c r="C435" s="3"/>
    </row>
    <row r="436" customFormat="false" ht="15.75" hidden="false" customHeight="false" outlineLevel="0" collapsed="false">
      <c r="A436" s="4"/>
      <c r="B436" s="3"/>
      <c r="C436" s="3"/>
    </row>
    <row r="437" customFormat="false" ht="15.75" hidden="false" customHeight="false" outlineLevel="0" collapsed="false">
      <c r="A437" s="4"/>
      <c r="B437" s="3"/>
      <c r="C437" s="3"/>
    </row>
    <row r="438" customFormat="false" ht="15.75" hidden="false" customHeight="false" outlineLevel="0" collapsed="false">
      <c r="A438" s="4"/>
      <c r="B438" s="3"/>
      <c r="C438" s="3"/>
    </row>
    <row r="439" customFormat="false" ht="15.75" hidden="false" customHeight="false" outlineLevel="0" collapsed="false">
      <c r="A439" s="4"/>
      <c r="B439" s="3"/>
      <c r="C439" s="3"/>
    </row>
    <row r="440" customFormat="false" ht="15.75" hidden="false" customHeight="false" outlineLevel="0" collapsed="false">
      <c r="A440" s="4"/>
      <c r="B440" s="3"/>
      <c r="C440" s="3"/>
    </row>
    <row r="441" customFormat="false" ht="15.75" hidden="false" customHeight="false" outlineLevel="0" collapsed="false">
      <c r="A441" s="4"/>
      <c r="B441" s="3"/>
      <c r="C441" s="3"/>
    </row>
    <row r="442" customFormat="false" ht="15.75" hidden="false" customHeight="false" outlineLevel="0" collapsed="false">
      <c r="A442" s="4"/>
      <c r="B442" s="3"/>
      <c r="C442" s="3"/>
    </row>
    <row r="443" customFormat="false" ht="15.75" hidden="false" customHeight="false" outlineLevel="0" collapsed="false">
      <c r="A443" s="4"/>
      <c r="B443" s="3"/>
      <c r="C443" s="3"/>
    </row>
    <row r="444" customFormat="false" ht="15.75" hidden="false" customHeight="false" outlineLevel="0" collapsed="false">
      <c r="A444" s="4"/>
      <c r="B444" s="3"/>
      <c r="C444" s="3"/>
    </row>
    <row r="445" customFormat="false" ht="15.75" hidden="false" customHeight="false" outlineLevel="0" collapsed="false">
      <c r="A445" s="4"/>
      <c r="B445" s="3"/>
      <c r="C445" s="3"/>
    </row>
    <row r="446" customFormat="false" ht="15.75" hidden="false" customHeight="false" outlineLevel="0" collapsed="false">
      <c r="A446" s="4"/>
      <c r="B446" s="3"/>
      <c r="C446" s="3"/>
    </row>
    <row r="447" customFormat="false" ht="15.75" hidden="false" customHeight="false" outlineLevel="0" collapsed="false">
      <c r="A447" s="4"/>
      <c r="B447" s="3"/>
      <c r="C447" s="3"/>
    </row>
    <row r="448" customFormat="false" ht="15.75" hidden="false" customHeight="false" outlineLevel="0" collapsed="false">
      <c r="A448" s="4"/>
      <c r="B448" s="3"/>
      <c r="C448" s="3"/>
    </row>
    <row r="449" customFormat="false" ht="15.75" hidden="false" customHeight="false" outlineLevel="0" collapsed="false">
      <c r="A449" s="4"/>
      <c r="B449" s="3"/>
      <c r="C449" s="3"/>
    </row>
    <row r="450" customFormat="false" ht="15.75" hidden="false" customHeight="false" outlineLevel="0" collapsed="false">
      <c r="A450" s="4"/>
      <c r="B450" s="3"/>
      <c r="C450" s="3"/>
    </row>
    <row r="451" customFormat="false" ht="15.75" hidden="false" customHeight="false" outlineLevel="0" collapsed="false">
      <c r="A451" s="4"/>
      <c r="B451" s="3"/>
      <c r="C451" s="3"/>
    </row>
    <row r="452" customFormat="false" ht="15.75" hidden="false" customHeight="false" outlineLevel="0" collapsed="false">
      <c r="A452" s="4"/>
      <c r="B452" s="3"/>
      <c r="C452" s="3"/>
    </row>
    <row r="453" customFormat="false" ht="15.75" hidden="false" customHeight="false" outlineLevel="0" collapsed="false">
      <c r="A453" s="4"/>
      <c r="B453" s="3"/>
      <c r="C453" s="3"/>
    </row>
    <row r="454" customFormat="false" ht="15.75" hidden="false" customHeight="false" outlineLevel="0" collapsed="false">
      <c r="A454" s="4"/>
      <c r="B454" s="3"/>
      <c r="C454" s="3"/>
    </row>
    <row r="455" customFormat="false" ht="15.75" hidden="false" customHeight="false" outlineLevel="0" collapsed="false">
      <c r="A455" s="4"/>
      <c r="B455" s="3"/>
      <c r="C455" s="3"/>
    </row>
    <row r="456" customFormat="false" ht="15.75" hidden="false" customHeight="false" outlineLevel="0" collapsed="false">
      <c r="A456" s="4"/>
      <c r="B456" s="3"/>
      <c r="C456" s="3"/>
    </row>
    <row r="457" customFormat="false" ht="15.75" hidden="false" customHeight="false" outlineLevel="0" collapsed="false">
      <c r="A457" s="4"/>
      <c r="B457" s="3"/>
      <c r="C457" s="3"/>
    </row>
    <row r="458" customFormat="false" ht="15.75" hidden="false" customHeight="false" outlineLevel="0" collapsed="false">
      <c r="A458" s="4"/>
      <c r="B458" s="3"/>
      <c r="C458" s="3"/>
    </row>
    <row r="459" customFormat="false" ht="15.75" hidden="false" customHeight="false" outlineLevel="0" collapsed="false">
      <c r="A459" s="4"/>
      <c r="B459" s="3"/>
      <c r="C459" s="3"/>
    </row>
    <row r="460" customFormat="false" ht="15.75" hidden="false" customHeight="false" outlineLevel="0" collapsed="false">
      <c r="A460" s="4"/>
      <c r="B460" s="3"/>
      <c r="C460" s="3"/>
    </row>
    <row r="461" customFormat="false" ht="15.75" hidden="false" customHeight="false" outlineLevel="0" collapsed="false">
      <c r="A461" s="4"/>
      <c r="B461" s="3"/>
      <c r="C461" s="3"/>
    </row>
    <row r="462" customFormat="false" ht="15.75" hidden="false" customHeight="false" outlineLevel="0" collapsed="false">
      <c r="A462" s="4"/>
      <c r="B462" s="3"/>
      <c r="C462" s="3"/>
    </row>
    <row r="463" customFormat="false" ht="15.75" hidden="false" customHeight="false" outlineLevel="0" collapsed="false">
      <c r="A463" s="4"/>
      <c r="B463" s="3"/>
      <c r="C463" s="3"/>
    </row>
    <row r="464" customFormat="false" ht="15.75" hidden="false" customHeight="false" outlineLevel="0" collapsed="false">
      <c r="A464" s="4"/>
      <c r="B464" s="3"/>
      <c r="C464" s="3"/>
    </row>
    <row r="465" customFormat="false" ht="15.75" hidden="false" customHeight="false" outlineLevel="0" collapsed="false">
      <c r="A465" s="4"/>
      <c r="B465" s="3"/>
      <c r="C465" s="3"/>
    </row>
    <row r="466" customFormat="false" ht="15.75" hidden="false" customHeight="false" outlineLevel="0" collapsed="false">
      <c r="A466" s="4"/>
      <c r="B466" s="3"/>
      <c r="C466" s="3"/>
    </row>
    <row r="467" customFormat="false" ht="15.75" hidden="false" customHeight="false" outlineLevel="0" collapsed="false">
      <c r="A467" s="4"/>
      <c r="B467" s="3"/>
      <c r="C467" s="3"/>
    </row>
    <row r="468" customFormat="false" ht="15.75" hidden="false" customHeight="false" outlineLevel="0" collapsed="false">
      <c r="A468" s="4"/>
      <c r="B468" s="3"/>
      <c r="C468" s="3"/>
    </row>
    <row r="469" customFormat="false" ht="15.75" hidden="false" customHeight="false" outlineLevel="0" collapsed="false">
      <c r="A469" s="4"/>
      <c r="B469" s="3"/>
      <c r="C469" s="3"/>
    </row>
    <row r="470" customFormat="false" ht="15.75" hidden="false" customHeight="false" outlineLevel="0" collapsed="false">
      <c r="A470" s="4"/>
      <c r="B470" s="3"/>
      <c r="C470" s="3"/>
    </row>
    <row r="471" customFormat="false" ht="15.75" hidden="false" customHeight="false" outlineLevel="0" collapsed="false">
      <c r="A471" s="4"/>
      <c r="B471" s="3"/>
      <c r="C471" s="3"/>
    </row>
    <row r="472" customFormat="false" ht="15.75" hidden="false" customHeight="false" outlineLevel="0" collapsed="false">
      <c r="A472" s="4"/>
      <c r="B472" s="3"/>
      <c r="C472" s="3"/>
    </row>
    <row r="473" customFormat="false" ht="15.75" hidden="false" customHeight="false" outlineLevel="0" collapsed="false">
      <c r="A473" s="4"/>
      <c r="B473" s="3"/>
      <c r="C473" s="3"/>
    </row>
    <row r="474" customFormat="false" ht="15.75" hidden="false" customHeight="false" outlineLevel="0" collapsed="false">
      <c r="A474" s="4"/>
      <c r="B474" s="3"/>
      <c r="C474" s="3"/>
    </row>
    <row r="475" customFormat="false" ht="15.75" hidden="false" customHeight="false" outlineLevel="0" collapsed="false">
      <c r="A475" s="4"/>
      <c r="B475" s="3"/>
      <c r="C475" s="3"/>
    </row>
    <row r="476" customFormat="false" ht="15.75" hidden="false" customHeight="false" outlineLevel="0" collapsed="false">
      <c r="A476" s="4"/>
      <c r="B476" s="3"/>
      <c r="C476" s="3"/>
    </row>
    <row r="477" customFormat="false" ht="15.75" hidden="false" customHeight="false" outlineLevel="0" collapsed="false">
      <c r="A477" s="4"/>
      <c r="B477" s="3"/>
      <c r="C477" s="3"/>
    </row>
    <row r="478" customFormat="false" ht="15.75" hidden="false" customHeight="false" outlineLevel="0" collapsed="false">
      <c r="A478" s="4"/>
      <c r="B478" s="3"/>
      <c r="C478" s="3"/>
    </row>
    <row r="479" customFormat="false" ht="15.75" hidden="false" customHeight="false" outlineLevel="0" collapsed="false">
      <c r="A479" s="4"/>
      <c r="B479" s="3"/>
      <c r="C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  <c r="C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  <c r="C488" s="3"/>
    </row>
    <row r="489" customFormat="false" ht="15.75" hidden="false" customHeight="false" outlineLevel="0" collapsed="false">
      <c r="A489" s="4"/>
      <c r="B489" s="3"/>
      <c r="C489" s="3"/>
    </row>
    <row r="490" customFormat="false" ht="15.75" hidden="false" customHeight="false" outlineLevel="0" collapsed="false">
      <c r="A490" s="4"/>
      <c r="B490" s="3"/>
      <c r="C490" s="3"/>
    </row>
    <row r="491" customFormat="false" ht="15.75" hidden="false" customHeight="false" outlineLevel="0" collapsed="false">
      <c r="A491" s="4"/>
      <c r="B491" s="3"/>
      <c r="C491" s="3"/>
    </row>
    <row r="492" customFormat="false" ht="15.75" hidden="false" customHeight="false" outlineLevel="0" collapsed="false">
      <c r="A492" s="4"/>
      <c r="B492" s="3"/>
      <c r="C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  <c r="B495" s="3"/>
      <c r="C495" s="3"/>
    </row>
    <row r="496" customFormat="false" ht="15.75" hidden="false" customHeight="false" outlineLevel="0" collapsed="false">
      <c r="A496" s="4"/>
      <c r="B496" s="3"/>
      <c r="C496" s="3"/>
    </row>
    <row r="497" customFormat="false" ht="15.75" hidden="false" customHeight="false" outlineLevel="0" collapsed="false">
      <c r="A497" s="4"/>
      <c r="B497" s="3"/>
      <c r="C497" s="3"/>
    </row>
    <row r="498" customFormat="false" ht="15.75" hidden="false" customHeight="false" outlineLevel="0" collapsed="false">
      <c r="A498" s="4"/>
      <c r="B498" s="3"/>
      <c r="C498" s="3"/>
    </row>
    <row r="499" customFormat="false" ht="15.75" hidden="false" customHeight="false" outlineLevel="0" collapsed="false">
      <c r="A499" s="4"/>
      <c r="B499" s="3"/>
      <c r="C499" s="3"/>
    </row>
    <row r="500" customFormat="false" ht="15.75" hidden="false" customHeight="false" outlineLevel="0" collapsed="false">
      <c r="A500" s="4"/>
      <c r="B500" s="3"/>
      <c r="C500" s="3"/>
    </row>
    <row r="501" customFormat="false" ht="15.75" hidden="false" customHeight="false" outlineLevel="0" collapsed="false">
      <c r="A501" s="4"/>
      <c r="B501" s="3"/>
      <c r="C501" s="3"/>
    </row>
    <row r="502" customFormat="false" ht="15.75" hidden="false" customHeight="false" outlineLevel="0" collapsed="false">
      <c r="A502" s="4"/>
      <c r="B502" s="3"/>
      <c r="C502" s="3"/>
    </row>
    <row r="503" customFormat="false" ht="15.75" hidden="false" customHeight="false" outlineLevel="0" collapsed="false">
      <c r="A503" s="4"/>
      <c r="B503" s="3"/>
      <c r="C503" s="3"/>
    </row>
    <row r="504" customFormat="false" ht="15.75" hidden="false" customHeight="false" outlineLevel="0" collapsed="false">
      <c r="A504" s="4"/>
      <c r="B504" s="3"/>
      <c r="C504" s="3"/>
    </row>
    <row r="505" customFormat="false" ht="15.75" hidden="false" customHeight="false" outlineLevel="0" collapsed="false">
      <c r="A505" s="4"/>
      <c r="B505" s="3"/>
      <c r="C505" s="3"/>
    </row>
    <row r="506" customFormat="false" ht="15.75" hidden="false" customHeight="false" outlineLevel="0" collapsed="false">
      <c r="A506" s="4"/>
      <c r="B506" s="3"/>
      <c r="C506" s="3"/>
    </row>
    <row r="507" customFormat="false" ht="15.75" hidden="false" customHeight="false" outlineLevel="0" collapsed="false">
      <c r="A507" s="4"/>
      <c r="B507" s="3"/>
      <c r="C507" s="3"/>
    </row>
    <row r="508" customFormat="false" ht="15.75" hidden="false" customHeight="false" outlineLevel="0" collapsed="false">
      <c r="A508" s="4"/>
      <c r="B508" s="3"/>
      <c r="C508" s="3"/>
    </row>
    <row r="509" customFormat="false" ht="15.75" hidden="false" customHeight="false" outlineLevel="0" collapsed="false">
      <c r="A509" s="4"/>
      <c r="B509" s="3"/>
      <c r="C509" s="3"/>
    </row>
    <row r="510" customFormat="false" ht="15.75" hidden="false" customHeight="false" outlineLevel="0" collapsed="false">
      <c r="A510" s="4"/>
      <c r="B510" s="3"/>
      <c r="C510" s="3"/>
    </row>
    <row r="511" customFormat="false" ht="15.75" hidden="false" customHeight="false" outlineLevel="0" collapsed="false">
      <c r="A511" s="4"/>
      <c r="B511" s="3"/>
      <c r="C511" s="3"/>
    </row>
    <row r="512" customFormat="false" ht="15.75" hidden="false" customHeight="false" outlineLevel="0" collapsed="false">
      <c r="A512" s="4"/>
      <c r="B512" s="3"/>
      <c r="C512" s="3"/>
    </row>
    <row r="513" customFormat="false" ht="15.75" hidden="false" customHeight="false" outlineLevel="0" collapsed="false">
      <c r="A513" s="4"/>
      <c r="B513" s="3"/>
      <c r="C513" s="3"/>
    </row>
    <row r="514" customFormat="false" ht="15.75" hidden="false" customHeight="false" outlineLevel="0" collapsed="false">
      <c r="A514" s="4"/>
      <c r="B514" s="3"/>
      <c r="C514" s="3"/>
    </row>
    <row r="515" customFormat="false" ht="15.75" hidden="false" customHeight="false" outlineLevel="0" collapsed="false">
      <c r="A515" s="4"/>
      <c r="B515" s="3"/>
      <c r="C515" s="3"/>
    </row>
    <row r="516" customFormat="false" ht="15.75" hidden="false" customHeight="false" outlineLevel="0" collapsed="false">
      <c r="A516" s="4"/>
      <c r="B516" s="3"/>
      <c r="C516" s="3"/>
    </row>
    <row r="517" customFormat="false" ht="15.75" hidden="false" customHeight="false" outlineLevel="0" collapsed="false">
      <c r="A517" s="4"/>
      <c r="B517" s="3"/>
      <c r="C517" s="3"/>
    </row>
    <row r="518" customFormat="false" ht="15.75" hidden="false" customHeight="false" outlineLevel="0" collapsed="false">
      <c r="A518" s="4"/>
      <c r="B518" s="3"/>
      <c r="C518" s="3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  <c r="B521" s="3"/>
      <c r="C521" s="3"/>
    </row>
    <row r="522" customFormat="false" ht="15.75" hidden="false" customHeight="false" outlineLevel="0" collapsed="false">
      <c r="A522" s="4"/>
      <c r="B522" s="3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  <c r="B530" s="3"/>
      <c r="C530" s="3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  <c r="C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B537" s="3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3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B550" s="3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4"/>
      <c r="B561" s="3"/>
      <c r="C561" s="3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  <c r="C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  <c r="C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  <c r="C586" s="3"/>
    </row>
    <row r="587" customFormat="false" ht="15.75" hidden="false" customHeight="false" outlineLevel="0" collapsed="false">
      <c r="A587" s="4"/>
      <c r="B587" s="3"/>
      <c r="C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  <c r="C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  <c r="C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  <c r="C597" s="3"/>
    </row>
    <row r="598" customFormat="false" ht="15.75" hidden="false" customHeight="false" outlineLevel="0" collapsed="false">
      <c r="A598" s="4"/>
      <c r="B598" s="3"/>
      <c r="C598" s="3"/>
    </row>
    <row r="599" customFormat="false" ht="15.75" hidden="false" customHeight="false" outlineLevel="0" collapsed="false">
      <c r="A599" s="4"/>
      <c r="B599" s="3"/>
      <c r="C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  <c r="C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A898" s="4"/>
      <c r="B898" s="3"/>
      <c r="C898" s="3"/>
    </row>
    <row r="899" customFormat="false" ht="15.75" hidden="false" customHeight="false" outlineLevel="0" collapsed="false">
      <c r="A899" s="4"/>
      <c r="B899" s="3"/>
      <c r="C899" s="3"/>
    </row>
    <row r="900" customFormat="false" ht="15.75" hidden="false" customHeight="false" outlineLevel="0" collapsed="false">
      <c r="A900" s="4"/>
      <c r="B900" s="3"/>
      <c r="C900" s="3"/>
    </row>
    <row r="901" customFormat="false" ht="15.75" hidden="false" customHeight="false" outlineLevel="0" collapsed="false">
      <c r="A901" s="4"/>
      <c r="B901" s="3"/>
      <c r="C901" s="3"/>
    </row>
    <row r="902" customFormat="false" ht="15.75" hidden="false" customHeight="false" outlineLevel="0" collapsed="false">
      <c r="A902" s="4"/>
      <c r="B902" s="3"/>
      <c r="C902" s="3"/>
    </row>
    <row r="903" customFormat="false" ht="15.75" hidden="false" customHeight="false" outlineLevel="0" collapsed="false">
      <c r="B903" s="3"/>
      <c r="C903" s="3"/>
    </row>
    <row r="904" customFormat="false" ht="15.75" hidden="false" customHeight="false" outlineLevel="0" collapsed="false">
      <c r="B904" s="3"/>
      <c r="C904" s="3"/>
    </row>
    <row r="905" customFormat="false" ht="15.75" hidden="false" customHeight="false" outlineLevel="0" collapsed="false">
      <c r="B905" s="3"/>
      <c r="C905" s="3"/>
    </row>
    <row r="906" customFormat="false" ht="15.75" hidden="false" customHeight="false" outlineLevel="0" collapsed="false">
      <c r="B906" s="3"/>
      <c r="C906" s="3"/>
    </row>
    <row r="907" customFormat="false" ht="15.75" hidden="false" customHeight="false" outlineLevel="0" collapsed="false">
      <c r="B907" s="3"/>
      <c r="C907" s="3"/>
    </row>
    <row r="908" customFormat="false" ht="15.75" hidden="false" customHeight="false" outlineLevel="0" collapsed="false">
      <c r="B908" s="3"/>
      <c r="C908" s="3"/>
    </row>
    <row r="909" customFormat="false" ht="15.75" hidden="false" customHeight="false" outlineLevel="0" collapsed="false">
      <c r="B909" s="3"/>
      <c r="C909" s="3"/>
    </row>
    <row r="910" customFormat="false" ht="15.75" hidden="false" customHeight="false" outlineLevel="0" collapsed="false">
      <c r="B910" s="3"/>
      <c r="C910" s="3"/>
    </row>
    <row r="911" customFormat="false" ht="15.75" hidden="false" customHeight="false" outlineLevel="0" collapsed="false">
      <c r="B911" s="3"/>
      <c r="C911" s="3"/>
    </row>
    <row r="912" customFormat="false" ht="15.75" hidden="false" customHeight="false" outlineLevel="0" collapsed="false">
      <c r="B912" s="3"/>
      <c r="C912" s="3"/>
    </row>
    <row r="913" customFormat="false" ht="15.75" hidden="false" customHeight="false" outlineLevel="0" collapsed="false">
      <c r="B913" s="3"/>
      <c r="C913" s="3"/>
    </row>
    <row r="914" customFormat="false" ht="15.75" hidden="false" customHeight="false" outlineLevel="0" collapsed="false">
      <c r="B914" s="3"/>
      <c r="C914" s="3"/>
    </row>
    <row r="915" customFormat="false" ht="15.75" hidden="false" customHeight="false" outlineLevel="0" collapsed="false">
      <c r="B915" s="3"/>
      <c r="C915" s="3"/>
    </row>
    <row r="916" customFormat="false" ht="15.75" hidden="false" customHeight="false" outlineLevel="0" collapsed="false">
      <c r="B916" s="3"/>
      <c r="C916" s="3"/>
    </row>
    <row r="917" customFormat="false" ht="15.75" hidden="false" customHeight="false" outlineLevel="0" collapsed="false">
      <c r="B917" s="3"/>
      <c r="C917" s="3"/>
    </row>
    <row r="918" customFormat="false" ht="15.75" hidden="false" customHeight="false" outlineLevel="0" collapsed="false">
      <c r="B918" s="3"/>
      <c r="C918" s="3"/>
    </row>
    <row r="919" customFormat="false" ht="15.75" hidden="false" customHeight="false" outlineLevel="0" collapsed="false">
      <c r="B919" s="3"/>
      <c r="C919" s="3"/>
    </row>
    <row r="920" customFormat="false" ht="15.75" hidden="false" customHeight="false" outlineLevel="0" collapsed="false">
      <c r="B920" s="3"/>
      <c r="C920" s="3"/>
    </row>
    <row r="921" customFormat="false" ht="15.75" hidden="false" customHeight="false" outlineLevel="0" collapsed="false">
      <c r="B921" s="3"/>
      <c r="C921" s="3"/>
    </row>
    <row r="922" customFormat="false" ht="15.75" hidden="false" customHeight="false" outlineLevel="0" collapsed="false">
      <c r="B922" s="3"/>
      <c r="C922" s="3"/>
    </row>
    <row r="923" customFormat="false" ht="15.75" hidden="false" customHeight="false" outlineLevel="0" collapsed="false">
      <c r="B923" s="3"/>
      <c r="C923" s="3"/>
    </row>
    <row r="924" customFormat="false" ht="15.75" hidden="false" customHeight="false" outlineLevel="0" collapsed="false">
      <c r="B924" s="3"/>
      <c r="C924" s="3"/>
    </row>
    <row r="925" customFormat="false" ht="15.75" hidden="false" customHeight="false" outlineLevel="0" collapsed="false">
      <c r="B925" s="3"/>
      <c r="C925" s="3"/>
    </row>
    <row r="926" customFormat="false" ht="15.75" hidden="false" customHeight="false" outlineLevel="0" collapsed="false">
      <c r="B926" s="3"/>
      <c r="C926" s="3"/>
    </row>
    <row r="927" customFormat="false" ht="15.75" hidden="false" customHeight="false" outlineLevel="0" collapsed="false">
      <c r="B927" s="3"/>
      <c r="C927" s="3"/>
    </row>
    <row r="928" customFormat="false" ht="15.75" hidden="false" customHeight="false" outlineLevel="0" collapsed="false">
      <c r="B928" s="3"/>
      <c r="C928" s="3"/>
    </row>
    <row r="929" customFormat="false" ht="15.75" hidden="false" customHeight="false" outlineLevel="0" collapsed="false">
      <c r="B929" s="3"/>
      <c r="C929" s="3"/>
    </row>
    <row r="930" customFormat="false" ht="15.75" hidden="false" customHeight="false" outlineLevel="0" collapsed="false">
      <c r="B930" s="3"/>
      <c r="C930" s="3"/>
    </row>
    <row r="931" customFormat="false" ht="15.75" hidden="false" customHeight="false" outlineLevel="0" collapsed="false">
      <c r="B931" s="3"/>
      <c r="C931" s="3"/>
    </row>
    <row r="932" customFormat="false" ht="15.75" hidden="false" customHeight="false" outlineLevel="0" collapsed="false">
      <c r="B932" s="3"/>
      <c r="C932" s="3"/>
    </row>
    <row r="933" customFormat="false" ht="15.75" hidden="false" customHeight="false" outlineLevel="0" collapsed="false">
      <c r="B933" s="3"/>
      <c r="C933" s="3"/>
    </row>
    <row r="934" customFormat="false" ht="15.75" hidden="false" customHeight="false" outlineLevel="0" collapsed="false">
      <c r="B934" s="3"/>
      <c r="C934" s="3"/>
    </row>
    <row r="935" customFormat="false" ht="15.75" hidden="false" customHeight="false" outlineLevel="0" collapsed="false">
      <c r="B935" s="3"/>
      <c r="C935" s="3"/>
    </row>
    <row r="936" customFormat="false" ht="15.75" hidden="false" customHeight="false" outlineLevel="0" collapsed="false">
      <c r="B936" s="3"/>
      <c r="C936" s="3"/>
    </row>
    <row r="937" customFormat="false" ht="15.75" hidden="false" customHeight="false" outlineLevel="0" collapsed="false">
      <c r="B937" s="3"/>
      <c r="C937" s="3"/>
    </row>
    <row r="938" customFormat="false" ht="15.75" hidden="false" customHeight="false" outlineLevel="0" collapsed="false">
      <c r="B938" s="3"/>
      <c r="C938" s="3"/>
    </row>
    <row r="939" customFormat="false" ht="15.75" hidden="false" customHeight="false" outlineLevel="0" collapsed="false">
      <c r="B939" s="3"/>
      <c r="C939" s="3"/>
    </row>
    <row r="940" customFormat="false" ht="15.75" hidden="false" customHeight="false" outlineLevel="0" collapsed="false">
      <c r="B940" s="3"/>
      <c r="C940" s="3"/>
    </row>
    <row r="941" customFormat="false" ht="15.75" hidden="false" customHeight="false" outlineLevel="0" collapsed="false">
      <c r="B941" s="3"/>
      <c r="C941" s="3"/>
    </row>
    <row r="942" customFormat="false" ht="15.75" hidden="false" customHeight="false" outlineLevel="0" collapsed="false">
      <c r="B942" s="3"/>
      <c r="C942" s="3"/>
    </row>
    <row r="943" customFormat="false" ht="15.75" hidden="false" customHeight="false" outlineLevel="0" collapsed="false">
      <c r="B943" s="3"/>
      <c r="C943" s="3"/>
    </row>
    <row r="944" customFormat="false" ht="15.75" hidden="false" customHeight="false" outlineLevel="0" collapsed="false">
      <c r="B944" s="3"/>
      <c r="C944" s="3"/>
    </row>
    <row r="945" customFormat="false" ht="15.75" hidden="false" customHeight="false" outlineLevel="0" collapsed="false">
      <c r="B945" s="3"/>
      <c r="C945" s="3"/>
    </row>
    <row r="946" customFormat="false" ht="15.75" hidden="false" customHeight="false" outlineLevel="0" collapsed="false">
      <c r="B946" s="3"/>
      <c r="C946" s="3"/>
    </row>
    <row r="947" customFormat="false" ht="15.75" hidden="false" customHeight="false" outlineLevel="0" collapsed="false">
      <c r="B947" s="3"/>
      <c r="C947" s="3"/>
    </row>
    <row r="948" customFormat="false" ht="15.75" hidden="false" customHeight="false" outlineLevel="0" collapsed="false">
      <c r="B948" s="3"/>
      <c r="C948" s="3"/>
    </row>
    <row r="949" customFormat="false" ht="15.75" hidden="false" customHeight="false" outlineLevel="0" collapsed="false">
      <c r="B949" s="3"/>
      <c r="C949" s="3"/>
    </row>
    <row r="950" customFormat="false" ht="15.75" hidden="false" customHeight="false" outlineLevel="0" collapsed="false">
      <c r="B950" s="3"/>
      <c r="C950" s="3"/>
    </row>
    <row r="951" customFormat="false" ht="15.75" hidden="false" customHeight="false" outlineLevel="0" collapsed="false">
      <c r="B951" s="3"/>
      <c r="C951" s="3"/>
    </row>
    <row r="952" customFormat="false" ht="15.75" hidden="false" customHeight="false" outlineLevel="0" collapsed="false">
      <c r="B952" s="3"/>
      <c r="C952" s="3"/>
    </row>
    <row r="953" customFormat="false" ht="15.75" hidden="false" customHeight="false" outlineLevel="0" collapsed="false">
      <c r="B953" s="3"/>
      <c r="C953" s="3"/>
    </row>
    <row r="954" customFormat="false" ht="15.75" hidden="false" customHeight="false" outlineLevel="0" collapsed="false">
      <c r="B954" s="3"/>
      <c r="C954" s="3"/>
    </row>
    <row r="955" customFormat="false" ht="15.75" hidden="false" customHeight="false" outlineLevel="0" collapsed="false">
      <c r="B955" s="3"/>
      <c r="C955" s="3"/>
    </row>
    <row r="956" customFormat="false" ht="15.75" hidden="false" customHeight="false" outlineLevel="0" collapsed="false">
      <c r="B956" s="3"/>
      <c r="C956" s="3"/>
    </row>
    <row r="957" customFormat="false" ht="15.75" hidden="false" customHeight="false" outlineLevel="0" collapsed="false">
      <c r="B957" s="3"/>
      <c r="C957" s="3"/>
    </row>
    <row r="958" customFormat="false" ht="15.75" hidden="false" customHeight="false" outlineLevel="0" collapsed="false">
      <c r="B958" s="3"/>
      <c r="C958" s="3"/>
    </row>
    <row r="959" customFormat="false" ht="15.75" hidden="false" customHeight="false" outlineLevel="0" collapsed="false">
      <c r="B959" s="3"/>
      <c r="C959" s="3"/>
    </row>
    <row r="960" customFormat="false" ht="15.75" hidden="false" customHeight="false" outlineLevel="0" collapsed="false">
      <c r="B960" s="3"/>
      <c r="C960" s="3"/>
    </row>
    <row r="961" customFormat="false" ht="15.75" hidden="false" customHeight="false" outlineLevel="0" collapsed="false">
      <c r="B961" s="3"/>
      <c r="C961" s="3"/>
    </row>
    <row r="962" customFormat="false" ht="15.75" hidden="false" customHeight="false" outlineLevel="0" collapsed="false">
      <c r="B962" s="3"/>
      <c r="C962" s="3"/>
    </row>
    <row r="963" customFormat="false" ht="15.75" hidden="false" customHeight="false" outlineLevel="0" collapsed="false">
      <c r="B963" s="3"/>
      <c r="C963" s="3"/>
    </row>
    <row r="964" customFormat="false" ht="15.75" hidden="false" customHeight="false" outlineLevel="0" collapsed="false">
      <c r="B964" s="3"/>
      <c r="C964" s="3"/>
    </row>
    <row r="965" customFormat="false" ht="15.75" hidden="false" customHeight="false" outlineLevel="0" collapsed="false">
      <c r="B965" s="3"/>
      <c r="C965" s="3"/>
    </row>
    <row r="966" customFormat="false" ht="15.75" hidden="false" customHeight="false" outlineLevel="0" collapsed="false">
      <c r="B966" s="3"/>
      <c r="C966" s="3"/>
    </row>
    <row r="967" customFormat="false" ht="15.75" hidden="false" customHeight="false" outlineLevel="0" collapsed="false">
      <c r="B967" s="3"/>
      <c r="C967" s="3"/>
    </row>
    <row r="968" customFormat="false" ht="15.75" hidden="false" customHeight="false" outlineLevel="0" collapsed="false">
      <c r="B968" s="3"/>
      <c r="C968" s="3"/>
    </row>
    <row r="969" customFormat="false" ht="15.75" hidden="false" customHeight="false" outlineLevel="0" collapsed="false">
      <c r="B969" s="3"/>
      <c r="C969" s="3"/>
    </row>
    <row r="970" customFormat="false" ht="15.75" hidden="false" customHeight="false" outlineLevel="0" collapsed="false">
      <c r="B970" s="3"/>
      <c r="C970" s="3"/>
    </row>
    <row r="971" customFormat="false" ht="15.75" hidden="false" customHeight="false" outlineLevel="0" collapsed="false">
      <c r="B971" s="3"/>
      <c r="C971" s="3"/>
    </row>
    <row r="972" customFormat="false" ht="15.75" hidden="false" customHeight="false" outlineLevel="0" collapsed="false">
      <c r="B972" s="3"/>
      <c r="C972" s="3"/>
    </row>
    <row r="973" customFormat="false" ht="15.75" hidden="false" customHeight="false" outlineLevel="0" collapsed="false">
      <c r="B973" s="3"/>
      <c r="C973" s="3"/>
    </row>
    <row r="974" customFormat="false" ht="15.75" hidden="false" customHeight="false" outlineLevel="0" collapsed="false">
      <c r="B974" s="3"/>
      <c r="C974" s="3"/>
    </row>
    <row r="975" customFormat="false" ht="15.75" hidden="false" customHeight="false" outlineLevel="0" collapsed="false">
      <c r="B975" s="3"/>
      <c r="C975" s="3"/>
    </row>
    <row r="976" customFormat="false" ht="15.75" hidden="false" customHeight="false" outlineLevel="0" collapsed="false">
      <c r="B976" s="3"/>
      <c r="C976" s="3"/>
    </row>
    <row r="977" customFormat="false" ht="15.75" hidden="false" customHeight="false" outlineLevel="0" collapsed="false">
      <c r="B977" s="3"/>
      <c r="C977" s="3"/>
    </row>
    <row r="978" customFormat="false" ht="15.75" hidden="false" customHeight="false" outlineLevel="0" collapsed="false">
      <c r="B978" s="3"/>
      <c r="C978" s="3"/>
    </row>
    <row r="979" customFormat="false" ht="15.75" hidden="false" customHeight="false" outlineLevel="0" collapsed="false">
      <c r="B979" s="3"/>
      <c r="C979" s="3"/>
    </row>
    <row r="980" customFormat="false" ht="15.75" hidden="false" customHeight="false" outlineLevel="0" collapsed="false">
      <c r="B980" s="3"/>
      <c r="C980" s="3"/>
    </row>
    <row r="981" customFormat="false" ht="15.75" hidden="false" customHeight="false" outlineLevel="0" collapsed="false">
      <c r="B981" s="3"/>
      <c r="C981" s="3"/>
    </row>
    <row r="982" customFormat="false" ht="15.75" hidden="false" customHeight="false" outlineLevel="0" collapsed="false">
      <c r="B982" s="3"/>
      <c r="C982" s="3"/>
    </row>
    <row r="983" customFormat="false" ht="15.75" hidden="false" customHeight="false" outlineLevel="0" collapsed="false">
      <c r="B983" s="3"/>
      <c r="C983" s="3"/>
    </row>
    <row r="984" customFormat="false" ht="15.75" hidden="false" customHeight="false" outlineLevel="0" collapsed="false">
      <c r="B984" s="3"/>
      <c r="C984" s="3"/>
    </row>
    <row r="985" customFormat="false" ht="15.75" hidden="false" customHeight="false" outlineLevel="0" collapsed="false">
      <c r="B985" s="3"/>
      <c r="C985" s="3"/>
    </row>
    <row r="986" customFormat="false" ht="15.75" hidden="false" customHeight="false" outlineLevel="0" collapsed="false">
      <c r="B986" s="3"/>
      <c r="C986" s="3"/>
    </row>
    <row r="987" customFormat="false" ht="15.75" hidden="false" customHeight="false" outlineLevel="0" collapsed="false">
      <c r="B987" s="3"/>
      <c r="C987" s="3"/>
    </row>
    <row r="988" customFormat="false" ht="15.75" hidden="false" customHeight="false" outlineLevel="0" collapsed="false">
      <c r="B988" s="3"/>
      <c r="C988" s="3"/>
    </row>
    <row r="989" customFormat="false" ht="15.75" hidden="false" customHeight="false" outlineLevel="0" collapsed="false">
      <c r="B989" s="3"/>
      <c r="C989" s="3"/>
    </row>
    <row r="990" customFormat="false" ht="15.75" hidden="false" customHeight="false" outlineLevel="0" collapsed="false">
      <c r="B990" s="3"/>
      <c r="C990" s="3"/>
    </row>
    <row r="991" customFormat="false" ht="15.75" hidden="false" customHeight="false" outlineLevel="0" collapsed="false">
      <c r="B991" s="3"/>
      <c r="C991" s="3"/>
    </row>
    <row r="992" customFormat="false" ht="15.75" hidden="false" customHeight="false" outlineLevel="0" collapsed="false">
      <c r="B992" s="3"/>
      <c r="C992" s="3"/>
    </row>
    <row r="993" customFormat="false" ht="15.75" hidden="false" customHeight="false" outlineLevel="0" collapsed="false">
      <c r="B993" s="3"/>
      <c r="C993" s="3"/>
    </row>
    <row r="994" customFormat="false" ht="15.75" hidden="false" customHeight="false" outlineLevel="0" collapsed="false">
      <c r="B994" s="3"/>
      <c r="C994" s="3"/>
    </row>
    <row r="995" customFormat="false" ht="15.75" hidden="false" customHeight="false" outlineLevel="0" collapsed="false">
      <c r="B995" s="3"/>
      <c r="C995" s="3"/>
    </row>
    <row r="996" customFormat="false" ht="15.75" hidden="false" customHeight="false" outlineLevel="0" collapsed="false">
      <c r="B996" s="3"/>
      <c r="C996" s="3"/>
    </row>
  </sheetData>
  <conditionalFormatting sqref="C80">
    <cfRule type="expression" priority="2" aboveAverage="0" equalAverage="0" bottom="0" percent="0" rank="0" text="" dxfId="1">
      <formula>D80="YES"</formula>
    </cfRule>
  </conditionalFormatting>
  <conditionalFormatting sqref="A2:A35 A37:A38 A42:A137 A140:A902">
    <cfRule type="expression" priority="3" aboveAverage="0" equalAverage="0" bottom="0" percent="0" rank="0" text="" dxfId="2">
      <formula>COUNTIF(B2:C2,A2)=0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77.51"/>
    <col collapsed="false" customWidth="true" hidden="false" outlineLevel="0" max="2" min="2" style="0" width="4.38"/>
    <col collapsed="false" customWidth="true" hidden="false" outlineLevel="0" max="3" min="3" style="0" width="82.38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61.4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1483</v>
      </c>
      <c r="B2" s="3" t="str">
        <f aca="false">IF(COUNTIF(Final_CB_R8_V5!$B$8:$B$20345,A2)&gt;=1,"YES","NO")</f>
        <v>YES</v>
      </c>
      <c r="C2" s="3" t="s">
        <v>1484</v>
      </c>
      <c r="D2" s="3" t="str">
        <f aca="false">IF(COUNTIF(Final_CB_R8_V5!$C$8:$C$2345,C2)&gt;=1,"YES","NO")</f>
        <v>YES</v>
      </c>
      <c r="F2" s="4" t="str">
        <f aca="false">IFERROR(__xludf.dummyfunction("filter(A2:A999, MATCH(A2:A999, C2:C999, FALSE))"),"agreeing::current::approach")</f>
        <v>agreeing::current::approach</v>
      </c>
      <c r="G2" s="4" t="str">
        <f aca="false">IFERROR(__xludf.dummyfunction("filter(A2:A700,iserror(MATCH(A2:A700, C2:C700, FALSE)))"),"accepting::clarification")</f>
        <v>accepting::clarification</v>
      </c>
      <c r="H2" s="4" t="str">
        <f aca="false">IFERROR(__xludf.dummyfunction("filter(C2:C700,ISERROR(MATCH(C2:C700, A2:A700, FALSE)))"),"agreeing::change::(architecture::tests)")</f>
        <v>agreeing::change::(architecture::tests)</v>
      </c>
    </row>
    <row r="3" customFormat="false" ht="15.75" hidden="false" customHeight="false" outlineLevel="0" collapsed="false">
      <c r="A3" s="3" t="s">
        <v>1485</v>
      </c>
      <c r="B3" s="3" t="str">
        <f aca="false">IF(COUNTIF(Final_CB_R8_V5!$B$8:$B$20345,A3)&gt;=1,"YES","NO")</f>
        <v>YES</v>
      </c>
      <c r="C3" s="3" t="s">
        <v>1486</v>
      </c>
      <c r="D3" s="3" t="str">
        <f aca="false">IF(COUNTIF(Final_CB_R8_V5!$C$8:$C$2345,C3)&gt;=1,"YES","NO")</f>
        <v>YES</v>
      </c>
      <c r="F3" s="4" t="str">
        <f aca="false">IFERROR(__xludf.dummyfunction("""COMPUTED_VALUE"""),"agreeing::suggestion::change::(backwards::compatebility)")</f>
        <v>agreeing::suggestion::change::(backwards::compatebility)</v>
      </c>
      <c r="G3" s="4" t="str">
        <f aca="false">IFERROR(__xludf.dummyfunction("""COMPUTED_VALUE"""),"accepting::clarification::about::documentation")</f>
        <v>accepting::clarification::about::documentation</v>
      </c>
      <c r="H3" s="4" t="str">
        <f aca="false">IFERROR(__xludf.dummyfunction("""COMPUTED_VALUE"""),"agreeing::change::(input::parameter)")</f>
        <v>agreeing::change::(input::parameter)</v>
      </c>
    </row>
    <row r="4" customFormat="false" ht="15.75" hidden="false" customHeight="false" outlineLevel="0" collapsed="false">
      <c r="A4" s="3" t="s">
        <v>1487</v>
      </c>
      <c r="B4" s="3" t="str">
        <f aca="false">IF(COUNTIF(Final_CB_R8_V5!$B$8:$B$20345,A4)&gt;=1,"YES","NO")</f>
        <v>YES</v>
      </c>
      <c r="C4" s="3" t="s">
        <v>1488</v>
      </c>
      <c r="D4" s="3" t="str">
        <f aca="false">IF(COUNTIF(Final_CB_R8_V5!$C$8:$C$2345,C4)&gt;=1,"YES","NO")</f>
        <v>YES</v>
      </c>
      <c r="F4" s="4" t="str">
        <f aca="false">IFERROR(__xludf.dummyfunction("""COMPUTED_VALUE"""),"agreeing::suggestion::change::(logging::message::clearness)")</f>
        <v>agreeing::suggestion::change::(logging::message::clearness)</v>
      </c>
      <c r="G4" s="4" t="str">
        <f aca="false">IFERROR(__xludf.dummyfunction("""COMPUTED_VALUE"""),"accepting::suggestion::change::(exception::type)")</f>
        <v>accepting::suggestion::change::(exception::type)</v>
      </c>
      <c r="H4" s="4" t="str">
        <f aca="false">IFERROR(__xludf.dummyfunction("""COMPUTED_VALUE"""),"agreeing::commenting::about::the::imposssibility::of::using::something::(decorators)")</f>
        <v>agreeing::commenting::about::the::imposssibility::of::using::something::(decorators)</v>
      </c>
    </row>
    <row r="5" customFormat="false" ht="15.75" hidden="false" customHeight="false" outlineLevel="0" collapsed="false">
      <c r="A5" s="3" t="s">
        <v>1489</v>
      </c>
      <c r="B5" s="3" t="str">
        <f aca="false">IF(COUNTIF(Final_CB_R8_V5!$B$8:$B$20345,A5)&gt;=1,"YES","NO")</f>
        <v>YES</v>
      </c>
      <c r="C5" s="3" t="s">
        <v>1490</v>
      </c>
      <c r="D5" s="3" t="str">
        <f aca="false">IF(COUNTIF(Final_CB_R8_V5!$C$8:$C$2345,C5)&gt;=1,"YES","NO")</f>
        <v>YES</v>
      </c>
      <c r="F5" s="4" t="str">
        <f aca="false">IFERROR(__xludf.dummyfunction("""COMPUTED_VALUE"""),"agreeing::suggestion::refactoring::code::(different::approach::change::config::file)")</f>
        <v>agreeing::suggestion::refactoring::code::(different::approach::change::config::file)</v>
      </c>
      <c r="G5" s="4" t="str">
        <f aca="false">IFERROR(__xludf.dummyfunction("""COMPUTED_VALUE"""),"accepting::suggestion::change::(logic)")</f>
        <v>accepting::suggestion::change::(logic)</v>
      </c>
      <c r="H5" s="4" t="str">
        <f aca="false">IFERROR(__xludf.dummyfunction("""COMPUTED_VALUE"""),"agreeing::conflicts::with::existing::dependency::(another::project)::of::the::change::(egg::and::chicken)")</f>
        <v>agreeing::conflicts::with::existing::dependency::(another::project)::of::the::change::(egg::and::chicken)</v>
      </c>
    </row>
    <row r="6" customFormat="false" ht="15.75" hidden="false" customHeight="false" outlineLevel="0" collapsed="false">
      <c r="A6" s="3" t="s">
        <v>1491</v>
      </c>
      <c r="B6" s="3" t="str">
        <f aca="false">IF(COUNTIF(Final_CB_R8_V5!$B$8:$B$20345,A6)&gt;=1,"YES","NO")</f>
        <v>YES</v>
      </c>
      <c r="C6" s="3" t="s">
        <v>1492</v>
      </c>
      <c r="D6" s="3" t="str">
        <f aca="false">IF(COUNTIF(Final_CB_R8_V5!$C$8:$C$2345,C6)&gt;=1,"YES","NO")</f>
        <v>YES</v>
      </c>
      <c r="F6" s="4" t="str">
        <f aca="false">IFERROR(__xludf.dummyfunction("""COMPUTED_VALUE"""),"agreement::suggestion::ignore::backwards::compatebility")</f>
        <v>agreement::suggestion::ignore::backwards::compatebility</v>
      </c>
      <c r="G6" s="4" t="str">
        <f aca="false">IFERROR(__xludf.dummyfunction("""COMPUTED_VALUE"""),"accepting::suggestion::creating::followup::issue")</f>
        <v>accepting::suggestion::creating::followup::issue</v>
      </c>
      <c r="H6" s="4" t="str">
        <f aca="false">IFERROR(__xludf.dummyfunction("""COMPUTED_VALUE"""),"agreeing::suggestion::change::(input::parameter)")</f>
        <v>agreeing::suggestion::change::(input::parameter)</v>
      </c>
    </row>
    <row r="7" customFormat="false" ht="15.75" hidden="false" customHeight="false" outlineLevel="0" collapsed="false">
      <c r="A7" s="3" t="s">
        <v>1493</v>
      </c>
      <c r="B7" s="3" t="str">
        <f aca="false">IF(COUNTIF(Final_CB_R8_V5!$B$8:$B$20345,A7)&gt;=1,"YES","NO")</f>
        <v>YES</v>
      </c>
      <c r="C7" s="3" t="s">
        <v>1494</v>
      </c>
      <c r="D7" s="3" t="str">
        <f aca="false">IF(COUNTIF(Final_CB_R8_V5!$C$8:$C$2345,C7)&gt;=1,"YES","NO")</f>
        <v>YES</v>
      </c>
      <c r="F7" s="4" t="str">
        <f aca="false">IFERROR(__xludf.dummyfunction("""COMPUTED_VALUE"""),"API::impact::mentioned")</f>
        <v>API::impact::mentioned</v>
      </c>
      <c r="G7" s="4" t="str">
        <f aca="false">IFERROR(__xludf.dummyfunction("""COMPUTED_VALUE"""),"accepting::suggestion::refactoring::(style)")</f>
        <v>accepting::suggestion::refactoring::(style)</v>
      </c>
      <c r="H7" s="4" t="str">
        <f aca="false">IFERROR(__xludf.dummyfunction("""COMPUTED_VALUE"""),"agreeing::suggestion::refactoring::(comparison::operators)")</f>
        <v>agreeing::suggestion::refactoring::(comparison::operators)</v>
      </c>
    </row>
    <row r="8" customFormat="false" ht="15.75" hidden="false" customHeight="false" outlineLevel="0" collapsed="false">
      <c r="A8" s="3" t="s">
        <v>1495</v>
      </c>
      <c r="B8" s="3" t="str">
        <f aca="false">IF(COUNTIF(Final_CB_R8_V5!$B$8:$B$20345,A8)&gt;=1,"YES","NO")</f>
        <v>YES</v>
      </c>
      <c r="C8" s="3" t="s">
        <v>1496</v>
      </c>
      <c r="D8" s="3" t="str">
        <f aca="false">IF(COUNTIF(Final_CB_R8_V5!$C$8:$C$2345,C8)&gt;=1,"YES","NO")</f>
        <v>YES</v>
      </c>
      <c r="F8" s="4" t="str">
        <f aca="false">IFERROR(__xludf.dummyfunction("""COMPUTED_VALUE"""),"approval::for::submitting::granted::(final)")</f>
        <v>approval::for::submitting::granted::(final)</v>
      </c>
      <c r="G8" s="4" t="str">
        <f aca="false">IFERROR(__xludf.dummyfunction("""COMPUTED_VALUE"""),"accepting::suggestion::refactoring::(unnecesary::loop)")</f>
        <v>accepting::suggestion::refactoring::(unnecesary::loop)</v>
      </c>
      <c r="H8" s="4" t="str">
        <f aca="false">IFERROR(__xludf.dummyfunction("""COMPUTED_VALUE"""),"agreeing::suggestion::style::change::(commit::message::clearness)")</f>
        <v>agreeing::suggestion::style::change::(commit::message::clearness)</v>
      </c>
    </row>
    <row r="9" customFormat="false" ht="15.75" hidden="false" customHeight="false" outlineLevel="0" collapsed="false">
      <c r="A9" s="3" t="s">
        <v>1492</v>
      </c>
      <c r="B9" s="3" t="str">
        <f aca="false">IF(COUNTIF(Final_CB_R8_V5!$B$8:$B$20345,A9)&gt;=1,"YES","NO")</f>
        <v>YES</v>
      </c>
      <c r="C9" s="3" t="s">
        <v>1497</v>
      </c>
      <c r="D9" s="3" t="str">
        <f aca="false">IF(COUNTIF(Final_CB_R8_V5!$C$8:$C$2345,C9)&gt;=1,"YES","NO")</f>
        <v>YES</v>
      </c>
      <c r="F9" s="4" t="str">
        <f aca="false">IFERROR(__xludf.dummyfunction("""COMPUTED_VALUE"""),"approval::for::submitting::granted::(final)::core::rev")</f>
        <v>approval::for::submitting::granted::(final)::core::rev</v>
      </c>
      <c r="G9" s="4" t="str">
        <f aca="false">IFERROR(__xludf.dummyfunction("""COMPUTED_VALUE"""),"agreement::objecting::suggestion::change::(logic)")</f>
        <v>agreement::objecting::suggestion::change::(logic)</v>
      </c>
      <c r="H9" s="4" t="str">
        <f aca="false">IFERROR(__xludf.dummyfunction("""COMPUTED_VALUE"""),"agreeing::wait::for::submitting::until::new::features::use::the::change")</f>
        <v>agreeing::wait::for::submitting::until::new::features::use::the::change</v>
      </c>
    </row>
    <row r="10" customFormat="false" ht="15.75" hidden="false" customHeight="false" outlineLevel="0" collapsed="false">
      <c r="A10" s="3" t="s">
        <v>1494</v>
      </c>
      <c r="B10" s="3" t="str">
        <f aca="false">IF(COUNTIF(Final_CB_R8_V5!$B$8:$B$20345,A10)&gt;=1,"YES","NO")</f>
        <v>YES</v>
      </c>
      <c r="C10" s="3" t="s">
        <v>1498</v>
      </c>
      <c r="D10" s="3" t="str">
        <f aca="false">IF(COUNTIF(Final_CB_R8_V5!$C$8:$C$2345,C10)&gt;=1,"YES","NO")</f>
        <v>YES</v>
      </c>
      <c r="F10" s="4" t="str">
        <f aca="false">IFERROR(__xludf.dummyfunction("""COMPUTED_VALUE"""),"approval::for::submitting::granted::for::the::BP")</f>
        <v>approval::for::submitting::granted::for::the::BP</v>
      </c>
      <c r="G10" s="4" t="str">
        <f aca="false">IFERROR(__xludf.dummyfunction("""COMPUTED_VALUE"""),"agreement::objecting::suggestion::refactoring::(out::of::scope)")</f>
        <v>agreement::objecting::suggestion::refactoring::(out::of::scope)</v>
      </c>
      <c r="H10" s="4" t="str">
        <f aca="false">IFERROR(__xludf.dummyfunction("""COMPUTED_VALUE"""),"agreement::suggestion::change::(add::functionallity)")</f>
        <v>agreement::suggestion::change::(add::functionallity)</v>
      </c>
    </row>
    <row r="11" customFormat="false" ht="15.75" hidden="false" customHeight="false" outlineLevel="0" collapsed="false">
      <c r="A11" s="3" t="s">
        <v>1497</v>
      </c>
      <c r="B11" s="3" t="str">
        <f aca="false">IF(COUNTIF(Final_CB_R8_V5!$B$8:$B$20345,A11)&gt;=1,"YES","NO")</f>
        <v>YES</v>
      </c>
      <c r="C11" s="3" t="s">
        <v>1499</v>
      </c>
      <c r="D11" s="3" t="str">
        <f aca="false">IF(COUNTIF(Final_CB_R8_V5!$C$8:$C$2345,C11)&gt;=1,"YES","NO")</f>
        <v>YES</v>
      </c>
      <c r="F11" s="4" t="str">
        <f aca="false">IFERROR(__xludf.dummyfunction("""COMPUTED_VALUE"""),"asking::advice::suggestion::refactoring::(cleaner::code)")</f>
        <v>asking::advice::suggestion::refactoring::(cleaner::code)</v>
      </c>
      <c r="G11" s="4" t="str">
        <f aca="false">IFERROR(__xludf.dummyfunction("""COMPUTED_VALUE"""),"agreement::objecting::suggestion::refactoring::(style)")</f>
        <v>agreement::objecting::suggestion::refactoring::(style)</v>
      </c>
      <c r="H11" s="4" t="str">
        <f aca="false">IFERROR(__xludf.dummyfunction("""COMPUTED_VALUE"""),"agreement::suggestion::change::(design)")</f>
        <v>agreement::suggestion::change::(design)</v>
      </c>
    </row>
    <row r="12" customFormat="false" ht="15.75" hidden="false" customHeight="false" outlineLevel="0" collapsed="false">
      <c r="A12" s="3" t="s">
        <v>1499</v>
      </c>
      <c r="B12" s="3" t="str">
        <f aca="false">IF(COUNTIF(Final_CB_R8_V5!$B$8:$B$20345,A12)&gt;=1,"YES","NO")</f>
        <v>YES</v>
      </c>
      <c r="C12" s="3" t="s">
        <v>1500</v>
      </c>
      <c r="D12" s="3" t="str">
        <f aca="false">IF(COUNTIF(Final_CB_R8_V5!$C$8:$C$2345,C12)&gt;=1,"YES","NO")</f>
        <v>YES</v>
      </c>
      <c r="F12" s="4" t="str">
        <f aca="false">IFERROR(__xludf.dummyfunction("""COMPUTED_VALUE"""),"asking::advice::suggestion::refactoring::(removing::not::thread::safe::code)")</f>
        <v>asking::advice::suggestion::refactoring::(removing::not::thread::safe::code)</v>
      </c>
      <c r="G12" s="4" t="str">
        <f aca="false">IFERROR(__xludf.dummyfunction("""COMPUTED_VALUE"""),"agreement::objecting::suggestion::refactoring::(unnecesary::code)")</f>
        <v>agreement::objecting::suggestion::refactoring::(unnecesary::code)</v>
      </c>
      <c r="H12" s="4" t="str">
        <f aca="false">IFERROR(__xludf.dummyfunction("""COMPUTED_VALUE"""),"approval::for::submitting::granted")</f>
        <v>approval::for::submitting::granted</v>
      </c>
    </row>
    <row r="13" customFormat="false" ht="15.75" hidden="false" customHeight="false" outlineLevel="0" collapsed="false">
      <c r="A13" s="3" t="s">
        <v>1501</v>
      </c>
      <c r="B13" s="3" t="str">
        <f aca="false">IF(COUNTIF(Final_CB_R8_V5!$B$8:$B$20345,A13)&gt;=1,"YES","NO")</f>
        <v>YES</v>
      </c>
      <c r="C13" s="3" t="s">
        <v>1502</v>
      </c>
      <c r="D13" s="3" t="str">
        <f aca="false">IF(COUNTIF(Final_CB_R8_V5!$C$8:$C$2345,C13)&gt;=1,"YES","NO")</f>
        <v>YES</v>
      </c>
      <c r="F13" s="4" t="str">
        <f aca="false">IFERROR(__xludf.dummyfunction("""COMPUTED_VALUE"""),"asking::clarification::(need::of::new::BP)")</f>
        <v>asking::clarification::(need::of::new::BP)</v>
      </c>
      <c r="G13" s="4" t="str">
        <f aca="false">IFERROR(__xludf.dummyfunction("""COMPUTED_VALUE"""),"agreement::split::patches")</f>
        <v>agreement::split::patches</v>
      </c>
      <c r="H13" s="4" t="str">
        <f aca="false">IFERROR(__xludf.dummyfunction("""COMPUTED_VALUE"""),"approval::for::submitting::granted2::(core::reviewer)")</f>
        <v>approval::for::submitting::granted2::(core::reviewer)</v>
      </c>
    </row>
    <row r="14" customFormat="false" ht="15.75" hidden="false" customHeight="false" outlineLevel="0" collapsed="false">
      <c r="A14" s="3" t="s">
        <v>1503</v>
      </c>
      <c r="B14" s="3" t="str">
        <f aca="false">IF(COUNTIF(Final_CB_R8_V5!$B$8:$B$20345,A14)&gt;=1,"YES","NO")</f>
        <v>YES</v>
      </c>
      <c r="C14" s="3" t="s">
        <v>1504</v>
      </c>
      <c r="D14" s="3" t="str">
        <f aca="false">IF(COUNTIF(Final_CB_R8_V5!$C$8:$C$2345,C14)&gt;=1,"YES","NO")</f>
        <v>YES</v>
      </c>
      <c r="F14" s="4" t="str">
        <f aca="false">IFERROR(__xludf.dummyfunction("""COMPUTED_VALUE"""),"asking::clarification::(need::of::new::PR)")</f>
        <v>asking::clarification::(need::of::new::PR)</v>
      </c>
      <c r="G14" s="4" t="str">
        <f aca="false">IFERROR(__xludf.dummyfunction("""COMPUTED_VALUE"""),"agreement::suggestion::change")</f>
        <v>agreement::suggestion::change</v>
      </c>
      <c r="H14" s="4" t="str">
        <f aca="false">IFERROR(__xludf.dummyfunction("""COMPUTED_VALUE"""),"approval::for::submitting::granted::(core::reviewer)")</f>
        <v>approval::for::submitting::granted::(core::reviewer)</v>
      </c>
    </row>
    <row r="15" customFormat="false" ht="15.75" hidden="false" customHeight="false" outlineLevel="0" collapsed="false">
      <c r="A15" s="3" t="s">
        <v>1505</v>
      </c>
      <c r="B15" s="3" t="str">
        <f aca="false">IF(COUNTIF(Final_CB_R8_V5!$B$8:$B$20345,A15)&gt;=1,"YES","NO")</f>
        <v>YES</v>
      </c>
      <c r="C15" s="3" t="s">
        <v>1506</v>
      </c>
      <c r="D15" s="3" t="str">
        <f aca="false">IF(COUNTIF(Final_CB_R8_V5!$C$8:$C$2345,C15)&gt;=1,"YES","NO")</f>
        <v>YES</v>
      </c>
      <c r="F15" s="4" t="str">
        <f aca="false">IFERROR(__xludf.dummyfunction("""COMPUTED_VALUE"""),"asking::clarification::about::code")</f>
        <v>asking::clarification::about::code</v>
      </c>
      <c r="G15" s="4" t="str">
        <f aca="false">IFERROR(__xludf.dummyfunction("""COMPUTED_VALUE"""),"agreement::suggestion::change::(logging)")</f>
        <v>agreement::suggestion::change::(logging)</v>
      </c>
      <c r="H15" s="4" t="str">
        <f aca="false">IFERROR(__xludf.dummyfunction("""COMPUTED_VALUE"""),"approval::for::submitting::granted::(final)::(core::reviewer)")</f>
        <v>approval::for::submitting::granted::(final)::(core::reviewer)</v>
      </c>
    </row>
    <row r="16" customFormat="false" ht="15.75" hidden="false" customHeight="false" outlineLevel="0" collapsed="false">
      <c r="A16" s="3" t="s">
        <v>1507</v>
      </c>
      <c r="B16" s="3" t="str">
        <f aca="false">IF(COUNTIF(Final_CB_R8_V5!$B$8:$B$20345,A16)&gt;=1,"YES","NO")</f>
        <v>YES</v>
      </c>
      <c r="C16" s="3" t="s">
        <v>1508</v>
      </c>
      <c r="D16" s="3" t="str">
        <f aca="false">IF(COUNTIF(Final_CB_R8_V5!$C$8:$C$2345,C16)&gt;=1,"YES","NO")</f>
        <v>YES</v>
      </c>
      <c r="F16" s="4" t="str">
        <f aca="false">IFERROR(__xludf.dummyfunction("""COMPUTED_VALUE"""),"asking::clarification::about::code::(design)")</f>
        <v>asking::clarification::about::code::(design)</v>
      </c>
      <c r="G16" s="4" t="str">
        <f aca="false">IFERROR(__xludf.dummyfunction("""COMPUTED_VALUE"""),"agreement::suggestion::change::(logic)")</f>
        <v>agreement::suggestion::change::(logic)</v>
      </c>
      <c r="H16" s="4" t="str">
        <f aca="false">IFERROR(__xludf.dummyfunction("""COMPUTED_VALUE"""),"approval::for::submitting::granted::(final::workflow::vote)")</f>
        <v>approval::for::submitting::granted::(final::workflow::vote)</v>
      </c>
    </row>
    <row r="17" customFormat="false" ht="15.75" hidden="false" customHeight="false" outlineLevel="0" collapsed="false">
      <c r="A17" s="3" t="s">
        <v>1509</v>
      </c>
      <c r="B17" s="3" t="str">
        <f aca="false">IF(COUNTIF(Final_CB_R8_V5!$B$8:$B$20345,A17)&gt;=1,"YES","NO")</f>
        <v>YES</v>
      </c>
      <c r="C17" s="3" t="s">
        <v>1510</v>
      </c>
      <c r="D17" s="3" t="str">
        <f aca="false">IF(COUNTIF(Final_CB_R8_V5!$C$8:$C$2345,C17)&gt;=1,"YES","NO")</f>
        <v>YES</v>
      </c>
      <c r="F17" s="4" t="str">
        <f aca="false">IFERROR(__xludf.dummyfunction("""COMPUTED_VALUE"""),"asking::clarification::about::code::(error::handling)")</f>
        <v>asking::clarification::about::code::(error::handling)</v>
      </c>
      <c r="G17" s="4" t="str">
        <f aca="false">IFERROR(__xludf.dummyfunction("""COMPUTED_VALUE"""),"agreement::suggestion::change::(types)")</f>
        <v>agreement::suggestion::change::(types)</v>
      </c>
      <c r="H17" s="4" t="str">
        <f aca="false">IFERROR(__xludf.dummyfunction("""COMPUTED_VALUE"""),"approval::for::submitting::granted::(final::workflow::vote)::(core::reviewer)")</f>
        <v>approval::for::submitting::granted::(final::workflow::vote)::(core::reviewer)</v>
      </c>
    </row>
    <row r="18" customFormat="false" ht="15.75" hidden="false" customHeight="false" outlineLevel="0" collapsed="false">
      <c r="A18" s="3" t="s">
        <v>1511</v>
      </c>
      <c r="B18" s="3" t="str">
        <f aca="false">IF(COUNTIF(Final_CB_R8_V5!$B$8:$B$20345,A18)&gt;=1,"YES","NO")</f>
        <v>YES</v>
      </c>
      <c r="C18" s="3" t="s">
        <v>1512</v>
      </c>
      <c r="D18" s="3" t="str">
        <f aca="false">IF(COUNTIF(Final_CB_R8_V5!$C$8:$C$2345,C18)&gt;=1,"YES","NO")</f>
        <v>YES</v>
      </c>
      <c r="F18" s="4" t="str">
        <f aca="false">IFERROR(__xludf.dummyfunction("""COMPUTED_VALUE"""),"asking::clarification::about::code::(functionallity)")</f>
        <v>asking::clarification::about::code::(functionallity)</v>
      </c>
      <c r="G18" s="4" t="str">
        <f aca="false">IFERROR(__xludf.dummyfunction("""COMPUTED_VALUE"""),"agreement::suggestion::content::change::(missing::info::commit::message)")</f>
        <v>agreement::suggestion::content::change::(missing::info::commit::message)</v>
      </c>
      <c r="H18" s="4" t="str">
        <f aca="false">IFERROR(__xludf.dummyfunction("""COMPUTED_VALUE"""),"approval::for::submitting::granted::(workflow::vote)::(core::reviewer)")</f>
        <v>approval::for::submitting::granted::(workflow::vote)::(core::reviewer)</v>
      </c>
    </row>
    <row r="19" customFormat="false" ht="15.75" hidden="false" customHeight="false" outlineLevel="0" collapsed="false">
      <c r="A19" s="3" t="s">
        <v>1513</v>
      </c>
      <c r="B19" s="3" t="str">
        <f aca="false">IF(COUNTIF(Final_CB_R8_V5!$B$8:$B$20345,A19)&gt;=1,"YES","NO")</f>
        <v>YES</v>
      </c>
      <c r="C19" s="3" t="s">
        <v>1514</v>
      </c>
      <c r="D19" s="3" t="str">
        <f aca="false">IF(COUNTIF(Final_CB_R8_V5!$C$8:$C$2345,C19)&gt;=1,"YES","NO")</f>
        <v>YES</v>
      </c>
      <c r="F19" s="4" t="str">
        <f aca="false">IFERROR(__xludf.dummyfunction("""COMPUTED_VALUE"""),"asking::clarification::about::code::(how::to::test::it)")</f>
        <v>asking::clarification::about::code::(how::to::test::it)</v>
      </c>
      <c r="G19" s="4" t="str">
        <f aca="false">IFERROR(__xludf.dummyfunction("""COMPUTED_VALUE"""),"agreement::suggestion::refactoring::(clearer::code)")</f>
        <v>agreement::suggestion::refactoring::(clearer::code)</v>
      </c>
      <c r="H19" s="4" t="str">
        <f aca="false">IFERROR(__xludf.dummyfunction("""COMPUTED_VALUE"""),"approval::for::submitting::granted::(workflow::vote2)::(core::reviewer)")</f>
        <v>approval::for::submitting::granted::(workflow::vote2)::(core::reviewer)</v>
      </c>
    </row>
    <row r="20" customFormat="false" ht="15.75" hidden="false" customHeight="false" outlineLevel="0" collapsed="false">
      <c r="A20" s="3" t="s">
        <v>1515</v>
      </c>
      <c r="B20" s="3" t="str">
        <f aca="false">IF(COUNTIF(Final_CB_R8_V5!$B$8:$B$20345,A20)&gt;=1,"YES","NO")</f>
        <v>YES</v>
      </c>
      <c r="C20" s="3" t="s">
        <v>1516</v>
      </c>
      <c r="D20" s="3" t="str">
        <f aca="false">IF(COUNTIF(Final_CB_R8_V5!$C$8:$C$2345,C20)&gt;=1,"YES","NO")</f>
        <v>YES</v>
      </c>
      <c r="F20" s="4" t="str">
        <f aca="false">IFERROR(__xludf.dummyfunction("""COMPUTED_VALUE"""),"asking::clarification::about::code::(input::parameter)")</f>
        <v>asking::clarification::about::code::(input::parameter)</v>
      </c>
      <c r="G20" s="4" t="str">
        <f aca="false">IFERROR(__xludf.dummyfunction("""COMPUTED_VALUE"""),"agreement::suggestion::refactoring::(consistency)")</f>
        <v>agreement::suggestion::refactoring::(consistency)</v>
      </c>
      <c r="H20" s="4" t="str">
        <f aca="false">IFERROR(__xludf.dummyfunction("""COMPUTED_VALUE"""),"approval::for::submitting::granted::(workflow::vote3)::(core::reviewer)")</f>
        <v>approval::for::submitting::granted::(workflow::vote3)::(core::reviewer)</v>
      </c>
    </row>
    <row r="21" customFormat="false" ht="15.75" hidden="false" customHeight="false" outlineLevel="0" collapsed="false">
      <c r="A21" s="3" t="s">
        <v>1517</v>
      </c>
      <c r="B21" s="3" t="str">
        <f aca="false">IF(COUNTIF(Final_CB_R8_V5!$B$8:$B$20345,A21)&gt;=1,"YES","NO")</f>
        <v>YES</v>
      </c>
      <c r="C21" s="3" t="s">
        <v>1518</v>
      </c>
      <c r="D21" s="3" t="str">
        <f aca="false">IF(COUNTIF(Final_CB_R8_V5!$C$8:$C$2345,C21)&gt;=1,"YES","NO")</f>
        <v>YES</v>
      </c>
      <c r="F21" s="4" t="str">
        <f aca="false">IFERROR(__xludf.dummyfunction("""COMPUTED_VALUE"""),"asking::clarification::about::code::(logic)")</f>
        <v>asking::clarification::about::code::(logic)</v>
      </c>
      <c r="G21" s="4" t="str">
        <f aca="false">IFERROR(__xludf.dummyfunction("""COMPUTED_VALUE"""),"anticipating::merge::soon")</f>
        <v>anticipating::merge::soon</v>
      </c>
      <c r="H21" s="4" t="str">
        <f aca="false">IFERROR(__xludf.dummyfunction("""COMPUTED_VALUE"""),"approval::for::submitting::granted::core::rev")</f>
        <v>approval::for::submitting::granted::core::rev</v>
      </c>
    </row>
    <row r="22" customFormat="false" ht="15.75" hidden="false" customHeight="false" outlineLevel="0" collapsed="false">
      <c r="A22" s="3" t="s">
        <v>1519</v>
      </c>
      <c r="B22" s="3" t="str">
        <f aca="false">IF(COUNTIF(Final_CB_R8_V5!$B$8:$B$20345,A22)&gt;=1,"YES","NO")</f>
        <v>YES</v>
      </c>
      <c r="C22" s="3" t="s">
        <v>1520</v>
      </c>
      <c r="D22" s="3" t="str">
        <f aca="false">IF(COUNTIF(Final_CB_R8_V5!$C$8:$C$2345,C22)&gt;=1,"YES","NO")</f>
        <v>YES</v>
      </c>
      <c r="F22" s="4" t="str">
        <f aca="false">IFERROR(__xludf.dummyfunction("""COMPUTED_VALUE"""),"asking::clarification::about::code::(missing::tests)")</f>
        <v>asking::clarification::about::code::(missing::tests)</v>
      </c>
      <c r="G22" s="4" t="str">
        <f aca="false">IFERROR(__xludf.dummyfunction("""COMPUTED_VALUE"""),"approval::for::submitting::granted::(final)1")</f>
        <v>approval::for::submitting::granted::(final)1</v>
      </c>
      <c r="H22" s="4" t="str">
        <f aca="false">IFERROR(__xludf.dummyfunction("""COMPUTED_VALUE"""),"approval::of::the::BP/spec::associated::to::the::change::before::merging")</f>
        <v>approval::of::the::BP/spec::associated::to::the::change::before::merging</v>
      </c>
    </row>
    <row r="23" customFormat="false" ht="15.75" hidden="false" customHeight="false" outlineLevel="0" collapsed="false">
      <c r="A23" s="3" t="s">
        <v>1508</v>
      </c>
      <c r="B23" s="3" t="str">
        <f aca="false">IF(COUNTIF(Final_CB_R8_V5!$B$8:$B$20345,A23)&gt;=1,"YES","NO")</f>
        <v>YES</v>
      </c>
      <c r="C23" s="3" t="s">
        <v>1521</v>
      </c>
      <c r="D23" s="3" t="str">
        <f aca="false">IF(COUNTIF(Final_CB_R8_V5!$C$8:$C$2345,C23)&gt;=1,"YES","NO")</f>
        <v>YES</v>
      </c>
      <c r="F23" s="4" t="str">
        <f aca="false">IFERROR(__xludf.dummyfunction("""COMPUTED_VALUE"""),"asking::clarification::about::code::(need::of::config::parameters)")</f>
        <v>asking::clarification::about::code::(need::of::config::parameters)</v>
      </c>
      <c r="G23" s="4" t="str">
        <f aca="false">IFERROR(__xludf.dummyfunction("""COMPUTED_VALUE"""),"approval::for::submitting::granted::(final)::(vote1)")</f>
        <v>approval::for::submitting::granted::(final)::(vote1)</v>
      </c>
      <c r="H23" s="4" t="str">
        <f aca="false">IFERROR(__xludf.dummyfunction("""COMPUTED_VALUE"""),"approval::of::the::BP/spec::associated::to::the::change::before::working::on::code")</f>
        <v>approval::of::the::BP/spec::associated::to::the::change::before::working::on::code</v>
      </c>
    </row>
    <row r="24" customFormat="false" ht="15.75" hidden="false" customHeight="false" outlineLevel="0" collapsed="false">
      <c r="A24" s="3" t="s">
        <v>1522</v>
      </c>
      <c r="B24" s="3" t="str">
        <f aca="false">IF(COUNTIF(Final_CB_R8_V5!$B$8:$B$20345,A24)&gt;=1,"YES","NO")</f>
        <v>YES</v>
      </c>
      <c r="C24" s="3" t="s">
        <v>1523</v>
      </c>
      <c r="D24" s="3" t="str">
        <f aca="false">IF(COUNTIF(Final_CB_R8_V5!$C$8:$C$2345,C24)&gt;=1,"YES","NO")</f>
        <v>YES</v>
      </c>
      <c r="F24" s="4" t="str">
        <f aca="false">IFERROR(__xludf.dummyfunction("""COMPUTED_VALUE"""),"asking::clarification::about::code::(need::of::tests)")</f>
        <v>asking::clarification::about::code::(need::of::tests)</v>
      </c>
      <c r="G24" s="4" t="str">
        <f aca="false">IFERROR(__xludf.dummyfunction("""COMPUTED_VALUE"""),"approval::for::submitting::granted::(final)::(vote13)")</f>
        <v>approval::for::submitting::granted::(final)::(vote13)</v>
      </c>
      <c r="H24" s="4" t="str">
        <f aca="false">IFERROR(__xludf.dummyfunction("""COMPUTED_VALUE"""),"asking:.clarification::about::the::reason::error::unit::test")</f>
        <v>asking:.clarification::about::the::reason::error::unit::test</v>
      </c>
    </row>
    <row r="25" customFormat="false" ht="15.75" hidden="false" customHeight="false" outlineLevel="0" collapsed="false">
      <c r="A25" s="3" t="s">
        <v>1524</v>
      </c>
      <c r="B25" s="3" t="str">
        <f aca="false">IF(COUNTIF(Final_CB_R8_V5!$B$8:$B$20345,A25)&gt;=1,"YES","NO")</f>
        <v>YES</v>
      </c>
      <c r="C25" s="3" t="s">
        <v>1525</v>
      </c>
      <c r="D25" s="3" t="str">
        <f aca="false">IF(COUNTIF(Final_CB_R8_V5!$C$8:$C$2345,C25)&gt;=1,"YES","NO")</f>
        <v>YES</v>
      </c>
      <c r="F25" s="4" t="str">
        <f aca="false">IFERROR(__xludf.dummyfunction("""COMPUTED_VALUE"""),"asking::clarification::about::code::(types)")</f>
        <v>asking::clarification::about::code::(types)</v>
      </c>
      <c r="G25" s="4" t="str">
        <f aca="false">IFERROR(__xludf.dummyfunction("""COMPUTED_VALUE"""),"approval::for::submitting::granted::(final)::(vote9)")</f>
        <v>approval::for::submitting::granted::(final)::(vote9)</v>
      </c>
      <c r="H25" s="4" t="str">
        <f aca="false">IFERROR(__xludf.dummyfunction("""COMPUTED_VALUE"""),"asking::advice::about::changes::(verify::correctness)")</f>
        <v>asking::advice::about::changes::(verify::correctness)</v>
      </c>
    </row>
    <row r="26" customFormat="false" ht="15.75" hidden="false" customHeight="false" outlineLevel="0" collapsed="false">
      <c r="A26" s="3" t="s">
        <v>1526</v>
      </c>
      <c r="B26" s="3" t="str">
        <f aca="false">IF(COUNTIF(Final_CB_R8_V5!$B$8:$B$20345,A26)&gt;=1,"YES","NO")</f>
        <v>YES</v>
      </c>
      <c r="C26" s="3" t="s">
        <v>1527</v>
      </c>
      <c r="D26" s="3" t="str">
        <f aca="false">IF(COUNTIF(Final_CB_R8_V5!$C$8:$C$2345,C26)&gt;=1,"YES","NO")</f>
        <v>YES</v>
      </c>
      <c r="F26" s="4" t="str">
        <f aca="false">IFERROR(__xludf.dummyfunction("""COMPUTED_VALUE"""),"asking::clarification::about::config::(fixed::values)")</f>
        <v>asking::clarification::about::config::(fixed::values)</v>
      </c>
      <c r="G26" s="4" t="str">
        <f aca="false">IFERROR(__xludf.dummyfunction("""COMPUTED_VALUE"""),"approval::for::submitting::granted::(final)::core::rev1")</f>
        <v>approval::for::submitting::granted::(final)::core::rev1</v>
      </c>
      <c r="H26" s="4" t="str">
        <f aca="false">IFERROR(__xludf.dummyfunction("""COMPUTED_VALUE"""),"asking::advice::about::code::and::documentation::(functionallity)")</f>
        <v>asking::advice::about::code::and::documentation::(functionallity)</v>
      </c>
    </row>
    <row r="27" customFormat="false" ht="15.75" hidden="false" customHeight="false" outlineLevel="0" collapsed="false">
      <c r="A27" s="3" t="s">
        <v>1510</v>
      </c>
      <c r="B27" s="3" t="str">
        <f aca="false">IF(COUNTIF(Final_CB_R8_V5!$B$8:$B$20345,A27)&gt;=1,"YES","NO")</f>
        <v>YES</v>
      </c>
      <c r="C27" s="3" t="s">
        <v>1528</v>
      </c>
      <c r="D27" s="3" t="str">
        <f aca="false">IF(COUNTIF(Final_CB_R8_V5!$C$8:$C$2345,C27)&gt;=1,"YES","NO")</f>
        <v>YES</v>
      </c>
      <c r="F27" s="4" t="str">
        <f aca="false">IFERROR(__xludf.dummyfunction("""COMPUTED_VALUE"""),"asking::clarification::about::dependencies")</f>
        <v>asking::clarification::about::dependencies</v>
      </c>
      <c r="G27" s="4" t="str">
        <f aca="false">IFERROR(__xludf.dummyfunction("""COMPUTED_VALUE"""),"approval::for::submitting::granted::(final)::core::rev2")</f>
        <v>approval::for::submitting::granted::(final)::core::rev2</v>
      </c>
      <c r="H27" s="4" t="str">
        <f aca="false">IFERROR(__xludf.dummyfunction("""COMPUTED_VALUE"""),"asking::advice::about::suggestion::change::current::approach::(change::for::different::api::version)")</f>
        <v>asking::advice::about::suggestion::change::current::approach::(change::for::different::api::version)</v>
      </c>
    </row>
    <row r="28" customFormat="false" ht="15.75" hidden="false" customHeight="false" outlineLevel="0" collapsed="false">
      <c r="A28" s="3" t="s">
        <v>1518</v>
      </c>
      <c r="B28" s="3" t="str">
        <f aca="false">IF(COUNTIF(Final_CB_R8_V5!$B$8:$B$20345,A28)&gt;=1,"YES","NO")</f>
        <v>YES</v>
      </c>
      <c r="C28" s="3" t="s">
        <v>1529</v>
      </c>
      <c r="D28" s="3" t="str">
        <f aca="false">IF(COUNTIF(Final_CB_R8_V5!$C$8:$C$2345,C28)&gt;=1,"YES","NO")</f>
        <v>YES</v>
      </c>
      <c r="F28" s="4" t="str">
        <f aca="false">IFERROR(__xludf.dummyfunction("""COMPUTED_VALUE"""),"asking::clarification::about::question")</f>
        <v>asking::clarification::about::question</v>
      </c>
      <c r="G28" s="4" t="str">
        <f aca="false">IFERROR(__xludf.dummyfunction("""COMPUTED_VALUE"""),"approval::for::submitting::granted::(final)::core::rev6")</f>
        <v>approval::for::submitting::granted::(final)::core::rev6</v>
      </c>
      <c r="H28" s="4" t="str">
        <f aca="false">IFERROR(__xludf.dummyfunction("""COMPUTED_VALUE"""),"asking::advice::how::to::fix::(alternative::solution)")</f>
        <v>asking::advice::how::to::fix::(alternative::solution)</v>
      </c>
    </row>
    <row r="29" customFormat="false" ht="15.75" hidden="false" customHeight="false" outlineLevel="0" collapsed="false">
      <c r="A29" s="3" t="s">
        <v>1530</v>
      </c>
      <c r="B29" s="3" t="str">
        <f aca="false">IF(COUNTIF(Final_CB_R8_V5!$B$8:$B$20345,A29)&gt;=1,"YES","NO")</f>
        <v>YES</v>
      </c>
      <c r="C29" s="3" t="s">
        <v>1531</v>
      </c>
      <c r="D29" s="3" t="str">
        <f aca="false">IF(COUNTIF(Final_CB_R8_V5!$C$8:$C$2345,C29)&gt;=1,"YES","NO")</f>
        <v>YES</v>
      </c>
      <c r="F29" s="4" t="str">
        <f aca="false">IFERROR(__xludf.dummyfunction("""COMPUTED_VALUE"""),"asking::clarification::about::suggestion")</f>
        <v>asking::clarification::about::suggestion</v>
      </c>
      <c r="G29" s="4" t="str">
        <f aca="false">IFERROR(__xludf.dummyfunction("""COMPUTED_VALUE"""),"approval::for::submitting::granted::(final)::core::rev::(vote1)")</f>
        <v>approval::for::submitting::granted::(final)::core::rev::(vote1)</v>
      </c>
      <c r="H29" s="4" t="str">
        <f aca="false">IFERROR(__xludf.dummyfunction("""COMPUTED_VALUE"""),"asking::advice::how::to::fix::failures::(building::tests)")</f>
        <v>asking::advice::how::to::fix::failures::(building::tests)</v>
      </c>
    </row>
    <row r="30" customFormat="false" ht="15.75" hidden="false" customHeight="false" outlineLevel="0" collapsed="false">
      <c r="A30" s="3" t="s">
        <v>1532</v>
      </c>
      <c r="B30" s="3" t="str">
        <f aca="false">IF(COUNTIF(Final_CB_R8_V5!$B$8:$B$20345,A30)&gt;=1,"YES","NO")</f>
        <v>YES</v>
      </c>
      <c r="C30" s="3" t="s">
        <v>1533</v>
      </c>
      <c r="D30" s="3" t="str">
        <f aca="false">IF(COUNTIF(Final_CB_R8_V5!$C$8:$C$2345,C30)&gt;=1,"YES","NO")</f>
        <v>YES</v>
      </c>
      <c r="F30" s="4" t="str">
        <f aca="false">IFERROR(__xludf.dummyfunction("""COMPUTED_VALUE"""),"asking::clarification::content::(commit::message)")</f>
        <v>asking::clarification::content::(commit::message)</v>
      </c>
      <c r="G30" s="4" t="str">
        <f aca="false">IFERROR(__xludf.dummyfunction("""COMPUTED_VALUE"""),"approval::for::submitting::granted::(final)::core::rev::(vote12)")</f>
        <v>approval::for::submitting::granted::(final)::core::rev::(vote12)</v>
      </c>
      <c r="H30" s="4" t="str">
        <f aca="false">IFERROR(__xludf.dummyfunction("""COMPUTED_VALUE"""),"asking::clarification:.about::assert::usage")</f>
        <v>asking::clarification:.about::assert::usage</v>
      </c>
    </row>
    <row r="31" customFormat="false" ht="15.75" hidden="false" customHeight="false" outlineLevel="0" collapsed="false">
      <c r="A31" s="3" t="s">
        <v>1534</v>
      </c>
      <c r="B31" s="3" t="str">
        <f aca="false">IF(COUNTIF(Final_CB_R8_V5!$B$8:$B$20345,A31)&gt;=1,"YES","NO")</f>
        <v>YES</v>
      </c>
      <c r="C31" s="3" t="s">
        <v>1535</v>
      </c>
      <c r="D31" s="3" t="str">
        <f aca="false">IF(COUNTIF(Final_CB_R8_V5!$C$8:$C$2345,C31)&gt;=1,"YES","NO")</f>
        <v>YES</v>
      </c>
      <c r="F31" s="4" t="str">
        <f aca="false">IFERROR(__xludf.dummyfunction("""COMPUTED_VALUE"""),"asking::clarification::developing::process::(added::wrong::commit::to::PR)")</f>
        <v>asking::clarification::developing::process::(added::wrong::commit::to::PR)</v>
      </c>
      <c r="G31" s="4" t="str">
        <f aca="false">IFERROR(__xludf.dummyfunction("""COMPUTED_VALUE"""),"approval::for::submitting::granted::(final)::core::rev::(vote2)")</f>
        <v>approval::for::submitting::granted::(final)::core::rev::(vote2)</v>
      </c>
      <c r="H31" s="4" t="str">
        <f aca="false">IFERROR(__xludf.dummyfunction("""COMPUTED_VALUE"""),"asking::clarification::(location::of::code)")</f>
        <v>asking::clarification::(location::of::code)</v>
      </c>
    </row>
    <row r="32" customFormat="false" ht="15.75" hidden="false" customHeight="false" outlineLevel="0" collapsed="false">
      <c r="A32" s="3" t="s">
        <v>1536</v>
      </c>
      <c r="B32" s="3" t="str">
        <f aca="false">IF(COUNTIF(Final_CB_R8_V5!$B$8:$B$20345,A32)&gt;=1,"YES","NO")</f>
        <v>YES</v>
      </c>
      <c r="C32" s="3" t="s">
        <v>1537</v>
      </c>
      <c r="D32" s="3" t="str">
        <f aca="false">IF(COUNTIF(Final_CB_R8_V5!$C$8:$C$2345,C32)&gt;=1,"YES","NO")</f>
        <v>YES</v>
      </c>
      <c r="F32" s="4" t="str">
        <f aca="false">IFERROR(__xludf.dummyfunction("""COMPUTED_VALUE"""),"asking::clarification::intended::solution::design")</f>
        <v>asking::clarification::intended::solution::design</v>
      </c>
      <c r="G32" s="4" t="str">
        <f aca="false">IFERROR(__xludf.dummyfunction("""COMPUTED_VALUE"""),"approval::for::submitting::granted::(final)::core::rev::(vote3)")</f>
        <v>approval::for::submitting::granted::(final)::core::rev::(vote3)</v>
      </c>
      <c r="H32" s="4" t="str">
        <f aca="false">IFERROR(__xludf.dummyfunction("""COMPUTED_VALUE"""),"asking::clarification::(need::of::conditional)")</f>
        <v>asking::clarification::(need::of::conditional)</v>
      </c>
    </row>
    <row r="33" customFormat="false" ht="15.75" hidden="false" customHeight="false" outlineLevel="0" collapsed="false">
      <c r="A33" s="3" t="s">
        <v>1521</v>
      </c>
      <c r="B33" s="3" t="str">
        <f aca="false">IF(COUNTIF(Final_CB_R8_V5!$B$8:$B$20345,A33)&gt;=1,"YES","NO")</f>
        <v>YES</v>
      </c>
      <c r="C33" s="3" t="s">
        <v>1538</v>
      </c>
      <c r="D33" s="3" t="str">
        <f aca="false">IF(COUNTIF(Final_CB_R8_V5!$C$8:$C$2345,C33)&gt;=1,"YES","NO")</f>
        <v>YES</v>
      </c>
      <c r="F33" s="4" t="str">
        <f aca="false">IFERROR(__xludf.dummyfunction("""COMPUTED_VALUE"""),"asking::clarification::suggestion::refactoring::(move::logic)")</f>
        <v>asking::clarification::suggestion::refactoring::(move::logic)</v>
      </c>
      <c r="G33" s="4" t="str">
        <f aca="false">IFERROR(__xludf.dummyfunction("""COMPUTED_VALUE"""),"approval::for::submitting::granted::(final)::core::rev::(vote4)")</f>
        <v>approval::for::submitting::granted::(final)::core::rev::(vote4)</v>
      </c>
      <c r="H33" s="4" t="str">
        <f aca="false">IFERROR(__xludf.dummyfunction("""COMPUTED_VALUE"""),"asking::clarification::(need::of::method::calling)")</f>
        <v>asking::clarification::(need::of::method::calling)</v>
      </c>
    </row>
    <row r="34" customFormat="false" ht="15.75" hidden="false" customHeight="false" outlineLevel="0" collapsed="false">
      <c r="A34" s="3" t="s">
        <v>1539</v>
      </c>
      <c r="B34" s="3" t="str">
        <f aca="false">IF(COUNTIF(Final_CB_R8_V5!$B$8:$B$20345,A34)&gt;=1,"YES","NO")</f>
        <v>YES</v>
      </c>
      <c r="C34" s="3" t="s">
        <v>1540</v>
      </c>
      <c r="D34" s="3" t="str">
        <f aca="false">IF(COUNTIF(Final_CB_R8_V5!$C$8:$C$2345,C34)&gt;=1,"YES","NO")</f>
        <v>YES</v>
      </c>
      <c r="F34" s="4" t="str">
        <f aca="false">IFERROR(__xludf.dummyfunction("""COMPUTED_VALUE"""),"asking::development::status")</f>
        <v>asking::development::status</v>
      </c>
      <c r="G34" s="4" t="str">
        <f aca="false">IFERROR(__xludf.dummyfunction("""COMPUTED_VALUE"""),"approval::for::submitting::granted::(final)::core::rev::(vote7)")</f>
        <v>approval::for::submitting::granted::(final)::core::rev::(vote7)</v>
      </c>
      <c r="H34" s="4" t="str">
        <f aca="false">IFERROR(__xludf.dummyfunction("""COMPUTED_VALUE"""),"asking::clarification::(need::to::move::logic)")</f>
        <v>asking::clarification::(need::to::move::logic)</v>
      </c>
    </row>
    <row r="35" customFormat="false" ht="15.75" hidden="false" customHeight="false" outlineLevel="0" collapsed="false">
      <c r="A35" s="3" t="s">
        <v>1541</v>
      </c>
      <c r="B35" s="3" t="str">
        <f aca="false">IF(COUNTIF(Final_CB_R8_V5!$B$8:$B$20345,A35)&gt;=1,"YES","NO")</f>
        <v>YES</v>
      </c>
      <c r="C35" s="3" t="s">
        <v>1542</v>
      </c>
      <c r="D35" s="3" t="str">
        <f aca="false">IF(COUNTIF(Final_CB_R8_V5!$C$8:$C$2345,C35)&gt;=1,"YES","NO")</f>
        <v>YES</v>
      </c>
      <c r="F35" s="4" t="str">
        <f aca="false">IFERROR(__xludf.dummyfunction("""COMPUTED_VALUE"""),"asking::for::assistance")</f>
        <v>asking::for::assistance</v>
      </c>
      <c r="G35" s="4" t="str">
        <f aca="false">IFERROR(__xludf.dummyfunction("""COMPUTED_VALUE"""),"approval::for::submitting::granted::(final)::core::rev::(vote8)")</f>
        <v>approval::for::submitting::granted::(final)::core::rev::(vote8)</v>
      </c>
      <c r="H35" s="4" t="str">
        <f aca="false">IFERROR(__xludf.dummyfunction("""COMPUTED_VALUE"""),"asking::clarification::(need::to::remove::code)")</f>
        <v>asking::clarification::(need::to::remove::code)</v>
      </c>
    </row>
    <row r="36" customFormat="false" ht="15.75" hidden="false" customHeight="false" outlineLevel="0" collapsed="false">
      <c r="A36" s="3" t="s">
        <v>1543</v>
      </c>
      <c r="B36" s="3" t="str">
        <f aca="false">IF(COUNTIF(Final_CB_R8_V5!$B$8:$B$20345,A36)&gt;=1,"YES","NO")</f>
        <v>YES</v>
      </c>
      <c r="C36" s="3" t="s">
        <v>1544</v>
      </c>
      <c r="D36" s="3" t="str">
        <f aca="false">IF(COUNTIF(Final_CB_R8_V5!$C$8:$C$2345,C36)&gt;=1,"YES","NO")</f>
        <v>YES</v>
      </c>
      <c r="F36" s="4" t="str">
        <f aca="false">IFERROR(__xludf.dummyfunction("""COMPUTED_VALUE"""),"asking::for::assistance::(more::tests)")</f>
        <v>asking::for::assistance::(more::tests)</v>
      </c>
      <c r="G36" s="4" t="str">
        <f aca="false">IFERROR(__xludf.dummyfunction("""COMPUTED_VALUE"""),"approval::for::submitting::granted::(final)::core::rev::(vote9)")</f>
        <v>approval::for::submitting::granted::(final)::core::rev::(vote9)</v>
      </c>
      <c r="H36" s="4" t="str">
        <f aca="false">IFERROR(__xludf.dummyfunction("""COMPUTED_VALUE"""),"asking::clarification::(renaming::signature)")</f>
        <v>asking::clarification::(renaming::signature)</v>
      </c>
    </row>
    <row r="37" customFormat="false" ht="15.75" hidden="false" customHeight="false" outlineLevel="0" collapsed="false">
      <c r="A37" s="3" t="s">
        <v>1545</v>
      </c>
      <c r="B37" s="3" t="str">
        <f aca="false">IF(COUNTIF(Final_CB_R8_V5!$B$8:$B$20345,A37)&gt;=1,"YES","NO")</f>
        <v>YES</v>
      </c>
      <c r="C37" s="3" t="s">
        <v>1546</v>
      </c>
      <c r="D37" s="3" t="str">
        <f aca="false">IF(COUNTIF(Final_CB_R8_V5!$C$8:$C$2345,C37)&gt;=1,"YES","NO")</f>
        <v>YES</v>
      </c>
      <c r="F37" s="4" t="str">
        <f aca="false">IFERROR(__xludf.dummyfunction("""COMPUTED_VALUE"""),"BP::needs::approval")</f>
        <v>BP::needs::approval</v>
      </c>
      <c r="G37" s="4" t="str">
        <f aca="false">IFERROR(__xludf.dummyfunction("""COMPUTED_VALUE"""),"approval::for::submitting::granted::(non::final)1")</f>
        <v>approval::for::submitting::granted::(non::final)1</v>
      </c>
      <c r="H37" s="4" t="str">
        <f aca="false">IFERROR(__xludf.dummyfunction("""COMPUTED_VALUE"""),"asking::clarification::(update::executable::files)")</f>
        <v>asking::clarification::(update::executable::files)</v>
      </c>
    </row>
    <row r="38" customFormat="false" ht="15.75" hidden="false" customHeight="false" outlineLevel="0" collapsed="false">
      <c r="A38" s="3" t="s">
        <v>1547</v>
      </c>
      <c r="B38" s="3" t="str">
        <f aca="false">IF(COUNTIF(Final_CB_R8_V5!$B$8:$B$20345,A38)&gt;=1,"YES","NO")</f>
        <v>YES</v>
      </c>
      <c r="C38" s="3" t="s">
        <v>1548</v>
      </c>
      <c r="D38" s="3" t="str">
        <f aca="false">IF(COUNTIF(Final_CB_R8_V5!$C$8:$C$2345,C38)&gt;=1,"YES","NO")</f>
        <v>YES</v>
      </c>
      <c r="F38" s="4" t="str">
        <f aca="false">IFERROR(__xludf.dummyfunction("""COMPUTED_VALUE"""),"bugs::hit")</f>
        <v>bugs::hit</v>
      </c>
      <c r="G38" s="4" t="str">
        <f aca="false">IFERROR(__xludf.dummyfunction("""COMPUTED_VALUE"""),"approval::for::submitting::granted::(non::final)10")</f>
        <v>approval::for::submitting::granted::(non::final)10</v>
      </c>
      <c r="H38" s="4" t="str">
        <f aca="false">IFERROR(__xludf.dummyfunction("""COMPUTED_VALUE"""),"asking::clarification::(where::is::the::BP::implemented)")</f>
        <v>asking::clarification::(where::is::the::BP::implemented)</v>
      </c>
    </row>
    <row r="39" customFormat="false" ht="15.75" hidden="false" customHeight="false" outlineLevel="0" collapsed="false">
      <c r="A39" s="3" t="s">
        <v>1549</v>
      </c>
      <c r="B39" s="3" t="str">
        <f aca="false">IF(COUNTIF(Final_CB_R8_V5!$B$8:$B$20345,A39)&gt;=1,"YES","NO")</f>
        <v>YES</v>
      </c>
      <c r="C39" s="3" t="s">
        <v>1550</v>
      </c>
      <c r="D39" s="3" t="str">
        <f aca="false">IF(COUNTIF(Final_CB_R8_V5!$C$8:$C$2345,C39)&gt;=1,"YES","NO")</f>
        <v>YES</v>
      </c>
      <c r="F39" s="4" t="str">
        <f aca="false">IFERROR(__xludf.dummyfunction("""COMPUTED_VALUE"""),"changes::reverted")</f>
        <v>changes::reverted</v>
      </c>
      <c r="G39" s="4" t="str">
        <f aca="false">IFERROR(__xludf.dummyfunction("""COMPUTED_VALUE"""),"approval::for::submitting::granted::(non::final)11")</f>
        <v>approval::for::submitting::granted::(non::final)11</v>
      </c>
      <c r="H39" s="4" t="str">
        <f aca="false">IFERROR(__xludf.dummyfunction("""COMPUTED_VALUE"""),"asking::clarification::about::bug::(changes)")</f>
        <v>asking::clarification::about::bug::(changes)</v>
      </c>
    </row>
    <row r="40" customFormat="false" ht="15.75" hidden="false" customHeight="false" outlineLevel="0" collapsed="false">
      <c r="A40" s="3" t="s">
        <v>1551</v>
      </c>
      <c r="B40" s="3" t="str">
        <f aca="false">IF(COUNTIF(Final_CB_R8_V5!$B$8:$B$20345,A40)&gt;=1,"YES","NO")</f>
        <v>YES</v>
      </c>
      <c r="C40" s="3" t="s">
        <v>1552</v>
      </c>
      <c r="D40" s="3" t="str">
        <f aca="false">IF(COUNTIF(Final_CB_R8_V5!$C$8:$C$2345,C40)&gt;=1,"YES","NO")</f>
        <v>YES</v>
      </c>
      <c r="F40" s="4" t="str">
        <f aca="false">IFERROR(__xludf.dummyfunction("""COMPUTED_VALUE"""),"comments::will::be::addressed::(soon)")</f>
        <v>comments::will::be::addressed::(soon)</v>
      </c>
      <c r="G40" s="4" t="str">
        <f aca="false">IFERROR(__xludf.dummyfunction("""COMPUTED_VALUE"""),"approval::for::submitting::granted::(non::final)12")</f>
        <v>approval::for::submitting::granted::(non::final)12</v>
      </c>
      <c r="H40" s="4" t="str">
        <f aca="false">IFERROR(__xludf.dummyfunction("""COMPUTED_VALUE"""),"asking::clarification::about::bug::(status)")</f>
        <v>asking::clarification::about::bug::(status)</v>
      </c>
    </row>
    <row r="41" customFormat="false" ht="15.75" hidden="false" customHeight="false" outlineLevel="0" collapsed="false">
      <c r="A41" s="3" t="s">
        <v>1553</v>
      </c>
      <c r="B41" s="3" t="str">
        <f aca="false">IF(COUNTIF(Final_CB_R8_V5!$B$8:$B$20345,A41)&gt;=1,"YES","NO")</f>
        <v>YES</v>
      </c>
      <c r="C41" s="3" t="s">
        <v>1554</v>
      </c>
      <c r="D41" s="3" t="str">
        <f aca="false">IF(COUNTIF(Final_CB_R8_V5!$C$8:$C$2345,C41)&gt;=1,"YES","NO")</f>
        <v>YES</v>
      </c>
      <c r="F41" s="4" t="str">
        <f aca="false">IFERROR(__xludf.dummyfunction("""COMPUTED_VALUE"""),"compliment::to::the::author::(solution::design)")</f>
        <v>compliment::to::the::author::(solution::design)</v>
      </c>
      <c r="G41" s="4" t="str">
        <f aca="false">IFERROR(__xludf.dummyfunction("""COMPUTED_VALUE"""),"approval::for::submitting::granted::(non::final)13")</f>
        <v>approval::for::submitting::granted::(non::final)13</v>
      </c>
      <c r="H41" s="4" t="str">
        <f aca="false">IFERROR(__xludf.dummyfunction("""COMPUTED_VALUE"""),"asking::clarification::about::change::(documentation)")</f>
        <v>asking::clarification::about::change::(documentation)</v>
      </c>
    </row>
    <row r="42" customFormat="false" ht="15.75" hidden="false" customHeight="false" outlineLevel="0" collapsed="false">
      <c r="A42" s="3" t="s">
        <v>1555</v>
      </c>
      <c r="B42" s="3" t="str">
        <f aca="false">IF(COUNTIF(Final_CB_R8_V5!$B$8:$B$20345,A42)&gt;=1,"YES","NO")</f>
        <v>YES</v>
      </c>
      <c r="C42" s="3" t="s">
        <v>1556</v>
      </c>
      <c r="D42" s="3" t="str">
        <f aca="false">IF(COUNTIF(Final_CB_R8_V5!$C$8:$C$2345,C42)&gt;=1,"YES","NO")</f>
        <v>YES</v>
      </c>
      <c r="F42" s="4" t="str">
        <f aca="false">IFERROR(__xludf.dummyfunction("""COMPUTED_VALUE"""),"conditioning::a::rebase::(only::if::negative::scores::are::removed)")</f>
        <v>conditioning::a::rebase::(only::if::negative::scores::are::removed)</v>
      </c>
      <c r="G42" s="4" t="str">
        <f aca="false">IFERROR(__xludf.dummyfunction("""COMPUTED_VALUE"""),"approval::for::submitting::granted::(non::final)14")</f>
        <v>approval::for::submitting::granted::(non::final)14</v>
      </c>
      <c r="H42" s="4" t="str">
        <f aca="false">IFERROR(__xludf.dummyfunction("""COMPUTED_VALUE"""),"asking::clarification::about::code::(a::different::approach::than::existing::one)")</f>
        <v>asking::clarification::about::code::(a::different::approach::than::existing::one)</v>
      </c>
    </row>
    <row r="43" customFormat="false" ht="15.75" hidden="false" customHeight="false" outlineLevel="0" collapsed="false">
      <c r="A43" s="3" t="s">
        <v>1557</v>
      </c>
      <c r="B43" s="3" t="str">
        <f aca="false">IF(COUNTIF(Final_CB_R8_V5!$B$8:$B$20345,A43)&gt;=1,"YES","NO")</f>
        <v>YES</v>
      </c>
      <c r="C43" s="3" t="s">
        <v>1558</v>
      </c>
      <c r="D43" s="3" t="str">
        <f aca="false">IF(COUNTIF(Final_CB_R8_V5!$C$8:$C$2345,C43)&gt;=1,"YES","NO")</f>
        <v>YES</v>
      </c>
      <c r="F43" s="4" t="str">
        <f aca="false">IFERROR(__xludf.dummyfunction("""COMPUTED_VALUE"""),"deferred::to::later::release")</f>
        <v>deferred::to::later::release</v>
      </c>
      <c r="G43" s="4" t="str">
        <f aca="false">IFERROR(__xludf.dummyfunction("""COMPUTED_VALUE"""),"approval::for::submitting::granted::(non::final)15")</f>
        <v>approval::for::submitting::granted::(non::final)15</v>
      </c>
      <c r="H43" s="4" t="str">
        <f aca="false">IFERROR(__xludf.dummyfunction("""COMPUTED_VALUE"""),"asking::clarification::about::code::(avoid::shutdown)")</f>
        <v>asking::clarification::about::code::(avoid::shutdown)</v>
      </c>
    </row>
    <row r="44" customFormat="false" ht="15.75" hidden="false" customHeight="false" outlineLevel="0" collapsed="false">
      <c r="A44" s="3" t="s">
        <v>1559</v>
      </c>
      <c r="B44" s="3" t="str">
        <f aca="false">IF(COUNTIF(Final_CB_R8_V5!$B$8:$B$20345,A44)&gt;=1,"YES","NO")</f>
        <v>YES</v>
      </c>
      <c r="C44" s="3" t="s">
        <v>1560</v>
      </c>
      <c r="D44" s="3" t="str">
        <f aca="false">IF(COUNTIF(Final_CB_R8_V5!$C$8:$C$2345,C44)&gt;=1,"YES","NO")</f>
        <v>YES</v>
      </c>
      <c r="F44" s="4" t="str">
        <f aca="false">IFERROR(__xludf.dummyfunction("""COMPUTED_VALUE"""),"discussing::about::another::patches::another::project::(dependencies::status)")</f>
        <v>discussing::about::another::patches::another::project::(dependencies::status)</v>
      </c>
      <c r="G44" s="4" t="str">
        <f aca="false">IFERROR(__xludf.dummyfunction("""COMPUTED_VALUE"""),"approval::for::submitting::granted::(non::final)16")</f>
        <v>approval::for::submitting::granted::(non::final)16</v>
      </c>
      <c r="H44" s="4" t="str">
        <f aca="false">IFERROR(__xludf.dummyfunction("""COMPUTED_VALUE"""),"asking::clarification::about::code::(conditional::with::break)")</f>
        <v>asking::clarification::about::code::(conditional::with::break)</v>
      </c>
    </row>
    <row r="45" customFormat="false" ht="15.75" hidden="false" customHeight="false" outlineLevel="0" collapsed="false">
      <c r="A45" s="3" t="s">
        <v>1561</v>
      </c>
      <c r="B45" s="3" t="str">
        <f aca="false">IF(COUNTIF(Final_CB_R8_V5!$B$8:$B$20345,A45)&gt;=1,"YES","NO")</f>
        <v>YES</v>
      </c>
      <c r="C45" s="3" t="s">
        <v>1562</v>
      </c>
      <c r="D45" s="3" t="str">
        <f aca="false">IF(COUNTIF(Final_CB_R8_V5!$C$8:$C$2345,C45)&gt;=1,"YES","NO")</f>
        <v>YES</v>
      </c>
      <c r="F45" s="4" t="str">
        <f aca="false">IFERROR(__xludf.dummyfunction("""COMPUTED_VALUE"""),"discussing::about::change")</f>
        <v>discussing::about::change</v>
      </c>
      <c r="G45" s="4" t="str">
        <f aca="false">IFERROR(__xludf.dummyfunction("""COMPUTED_VALUE"""),"approval::for::submitting::granted::(non::final)17")</f>
        <v>approval::for::submitting::granted::(non::final)17</v>
      </c>
      <c r="H45" s="4" t="str">
        <f aca="false">IFERROR(__xludf.dummyfunction("""COMPUTED_VALUE"""),"asking::clarification::about::code::(default::value)")</f>
        <v>asking::clarification::about::code::(default::value)</v>
      </c>
    </row>
    <row r="46" customFormat="false" ht="15.75" hidden="false" customHeight="false" outlineLevel="0" collapsed="false">
      <c r="A46" s="3" t="s">
        <v>1563</v>
      </c>
      <c r="B46" s="3" t="str">
        <f aca="false">IF(COUNTIF(Final_CB_R8_V5!$B$8:$B$20345,A46)&gt;=1,"YES","NO")</f>
        <v>YES</v>
      </c>
      <c r="C46" s="3" t="s">
        <v>1564</v>
      </c>
      <c r="D46" s="3" t="str">
        <f aca="false">IF(COUNTIF(Final_CB_R8_V5!$C$8:$C$2345,C46)&gt;=1,"YES","NO")</f>
        <v>YES</v>
      </c>
      <c r="F46" s="4" t="str">
        <f aca="false">IFERROR(__xludf.dummyfunction("""COMPUTED_VALUE"""),"discussing::about::change::(backwards::compatibility)")</f>
        <v>discussing::about::change::(backwards::compatibility)</v>
      </c>
      <c r="G46" s="4" t="str">
        <f aca="false">IFERROR(__xludf.dummyfunction("""COMPUTED_VALUE"""),"approval::for::submitting::granted::(non::final)18")</f>
        <v>approval::for::submitting::granted::(non::final)18</v>
      </c>
      <c r="H46" s="4" t="str">
        <f aca="false">IFERROR(__xludf.dummyfunction("""COMPUTED_VALUE"""),"asking::clarification::about::code::(design::access::modifiers)")</f>
        <v>asking::clarification::about::code::(design::access::modifiers)</v>
      </c>
    </row>
    <row r="47" customFormat="false" ht="15.75" hidden="false" customHeight="false" outlineLevel="0" collapsed="false">
      <c r="A47" s="3" t="s">
        <v>1565</v>
      </c>
      <c r="B47" s="3" t="str">
        <f aca="false">IF(COUNTIF(Final_CB_R8_V5!$B$8:$B$20345,A47)&gt;=1,"YES","NO")</f>
        <v>YES</v>
      </c>
      <c r="C47" s="3" t="s">
        <v>1566</v>
      </c>
      <c r="D47" s="3" t="str">
        <f aca="false">IF(COUNTIF(Final_CB_R8_V5!$C$8:$C$2345,C47)&gt;=1,"YES","NO")</f>
        <v>YES</v>
      </c>
      <c r="F47" s="4" t="str">
        <f aca="false">IFERROR(__xludf.dummyfunction("""COMPUTED_VALUE"""),"discussing::about::reverting::changes")</f>
        <v>discussing::about::reverting::changes</v>
      </c>
      <c r="G47" s="4" t="str">
        <f aca="false">IFERROR(__xludf.dummyfunction("""COMPUTED_VALUE"""),"approval::for::submitting::granted::(non::final)19")</f>
        <v>approval::for::submitting::granted::(non::final)19</v>
      </c>
      <c r="H47" s="4" t="str">
        <f aca="false">IFERROR(__xludf.dummyfunction("""COMPUTED_VALUE"""),"asking::clarification::about::code::(functionallity::exception::works)")</f>
        <v>asking::clarification::about::code::(functionallity::exception::works)</v>
      </c>
    </row>
    <row r="48" customFormat="false" ht="15.75" hidden="false" customHeight="false" outlineLevel="0" collapsed="false">
      <c r="A48" s="3" t="s">
        <v>1567</v>
      </c>
      <c r="B48" s="3" t="str">
        <f aca="false">IF(COUNTIF(Final_CB_R8_V5!$B$8:$B$20345,A48)&gt;=1,"YES","NO")</f>
        <v>YES</v>
      </c>
      <c r="C48" s="3" t="s">
        <v>1568</v>
      </c>
      <c r="D48" s="3" t="str">
        <f aca="false">IF(COUNTIF(Final_CB_R8_V5!$C$8:$C$2345,C48)&gt;=1,"YES","NO")</f>
        <v>YES</v>
      </c>
      <c r="F48" s="4" t="str">
        <f aca="false">IFERROR(__xludf.dummyfunction("""COMPUTED_VALUE"""),"doc::impact::mentioned")</f>
        <v>doc::impact::mentioned</v>
      </c>
      <c r="G48" s="4" t="str">
        <f aca="false">IFERROR(__xludf.dummyfunction("""COMPUTED_VALUE"""),"approval::for::submitting::granted::(non::final)2")</f>
        <v>approval::for::submitting::granted::(non::final)2</v>
      </c>
      <c r="H48" s="4" t="str">
        <f aca="false">IFERROR(__xludf.dummyfunction("""COMPUTED_VALUE"""),"asking::clarification::about::code::(functionallity::paths::scope)")</f>
        <v>asking::clarification::about::code::(functionallity::paths::scope)</v>
      </c>
    </row>
    <row r="49" customFormat="false" ht="15.75" hidden="false" customHeight="false" outlineLevel="0" collapsed="false">
      <c r="A49" s="3" t="s">
        <v>1569</v>
      </c>
      <c r="B49" s="3" t="str">
        <f aca="false">IF(COUNTIF(Final_CB_R8_V5!$B$8:$B$20345,A49)&gt;=1,"YES","NO")</f>
        <v>YES</v>
      </c>
      <c r="C49" s="3" t="s">
        <v>1570</v>
      </c>
      <c r="D49" s="3" t="str">
        <f aca="false">IF(COUNTIF(Final_CB_R8_V5!$C$8:$C$2345,C49)&gt;=1,"YES","NO")</f>
        <v>YES</v>
      </c>
      <c r="F49" s="4" t="str">
        <f aca="false">IFERROR(__xludf.dummyfunction("""COMPUTED_VALUE"""),"done::/::will::do")</f>
        <v>done::/::will::do</v>
      </c>
      <c r="G49" s="4" t="str">
        <f aca="false">IFERROR(__xludf.dummyfunction("""COMPUTED_VALUE"""),"approval::for::submitting::granted::(non::final)20")</f>
        <v>approval::for::submitting::granted::(non::final)20</v>
      </c>
      <c r="H49" s="4" t="str">
        <f aca="false">IFERROR(__xludf.dummyfunction("""COMPUTED_VALUE"""),"asking::clarification::about::code::(functionallity::works)")</f>
        <v>asking::clarification::about::code::(functionallity::works)</v>
      </c>
    </row>
    <row r="50" customFormat="false" ht="15.75" hidden="false" customHeight="false" outlineLevel="0" collapsed="false">
      <c r="A50" s="3" t="s">
        <v>1571</v>
      </c>
      <c r="B50" s="3" t="str">
        <f aca="false">IF(COUNTIF(Final_CB_R8_V5!$B$8:$B$20345,A50)&gt;=1,"YES","NO")</f>
        <v>YES</v>
      </c>
      <c r="C50" s="3" t="s">
        <v>1572</v>
      </c>
      <c r="D50" s="3" t="str">
        <f aca="false">IF(COUNTIF(Final_CB_R8_V5!$C$8:$C$2345,C50)&gt;=1,"YES","NO")</f>
        <v>YES</v>
      </c>
      <c r="F50" s="4" t="str">
        <f aca="false">IFERROR(__xludf.dummyfunction("""COMPUTED_VALUE"""),"FFE::(feature::freeze::exception)::approved")</f>
        <v>FFE::(feature::freeze::exception)::approved</v>
      </c>
      <c r="G50" s="4" t="str">
        <f aca="false">IFERROR(__xludf.dummyfunction("""COMPUTED_VALUE"""),"approval::for::submitting::granted::(non::final)21")</f>
        <v>approval::for::submitting::granted::(non::final)21</v>
      </c>
      <c r="H50" s="4" t="str">
        <f aca="false">IFERROR(__xludf.dummyfunction("""COMPUTED_VALUE"""),"asking::clarification::about::code::(if:.test::covers::case)")</f>
        <v>asking::clarification::about::code::(if:.test::covers::case)</v>
      </c>
    </row>
    <row r="51" customFormat="false" ht="15.75" hidden="false" customHeight="false" outlineLevel="0" collapsed="false">
      <c r="A51" s="3" t="s">
        <v>1573</v>
      </c>
      <c r="B51" s="3" t="str">
        <f aca="false">IF(COUNTIF(Final_CB_R8_V5!$B$8:$B$20345,A51)&gt;=1,"YES","NO")</f>
        <v>YES</v>
      </c>
      <c r="C51" s="3" t="s">
        <v>1574</v>
      </c>
      <c r="D51" s="3" t="str">
        <f aca="false">IF(COUNTIF(Final_CB_R8_V5!$C$8:$C$2345,C51)&gt;=1,"YES","NO")</f>
        <v>YES</v>
      </c>
      <c r="F51" s="4" t="str">
        <f aca="false">IFERROR(__xludf.dummyfunction("""COMPUTED_VALUE"""),"highlights::missunderstanding")</f>
        <v>highlights::missunderstanding</v>
      </c>
      <c r="G51" s="4" t="str">
        <f aca="false">IFERROR(__xludf.dummyfunction("""COMPUTED_VALUE"""),"approval::for::submitting::granted::(non::final)22")</f>
        <v>approval::for::submitting::granted::(non::final)22</v>
      </c>
      <c r="H51" s="4" t="str">
        <f aca="false">IFERROR(__xludf.dummyfunction("""COMPUTED_VALUE"""),"asking::clarification::about::code::(log::need)")</f>
        <v>asking::clarification::about::code::(log::need)</v>
      </c>
    </row>
    <row r="52" customFormat="false" ht="15.75" hidden="false" customHeight="false" outlineLevel="0" collapsed="false">
      <c r="A52" s="3" t="s">
        <v>1575</v>
      </c>
      <c r="B52" s="3" t="str">
        <f aca="false">IF(COUNTIF(Final_CB_R8_V5!$B$8:$B$20345,A52)&gt;=1,"YES","NO")</f>
        <v>YES</v>
      </c>
      <c r="C52" s="3" t="s">
        <v>1576</v>
      </c>
      <c r="D52" s="3" t="str">
        <f aca="false">IF(COUNTIF(Final_CB_R8_V5!$C$8:$C$2345,C52)&gt;=1,"YES","NO")</f>
        <v>YES</v>
      </c>
      <c r="F52" s="4" t="str">
        <f aca="false">IFERROR(__xludf.dummyfunction("""COMPUTED_VALUE"""),"informing:.conflict:.(another::review)")</f>
        <v>informing:.conflict:.(another::review)</v>
      </c>
      <c r="G52" s="4" t="str">
        <f aca="false">IFERROR(__xludf.dummyfunction("""COMPUTED_VALUE"""),"approval::for::submitting::granted::(non::final)23")</f>
        <v>approval::for::submitting::granted::(non::final)23</v>
      </c>
      <c r="H52" s="4" t="str">
        <f aca="false">IFERROR(__xludf.dummyfunction("""COMPUTED_VALUE"""),"asking::clarification::about::code::(missing::context)")</f>
        <v>asking::clarification::about::code::(missing::context)</v>
      </c>
    </row>
    <row r="53" customFormat="false" ht="15.75" hidden="false" customHeight="false" outlineLevel="0" collapsed="false">
      <c r="A53" s="3" t="s">
        <v>1577</v>
      </c>
      <c r="B53" s="3" t="str">
        <f aca="false">IF(COUNTIF(Final_CB_R8_V5!$B$8:$B$20345,A53)&gt;=1,"YES","NO")</f>
        <v>YES</v>
      </c>
      <c r="C53" s="3" t="s">
        <v>1578</v>
      </c>
      <c r="D53" s="3" t="str">
        <f aca="false">IF(COUNTIF(Final_CB_R8_V5!$C$8:$C$2345,C53)&gt;=1,"YES","NO")</f>
        <v>YES</v>
      </c>
      <c r="F53" s="4" t="str">
        <f aca="false">IFERROR(__xludf.dummyfunction("""COMPUTED_VALUE"""),"informing:.that::a::change::made::was::already::done")</f>
        <v>informing:.that::a::change::made::was::already::done</v>
      </c>
      <c r="G53" s="4" t="str">
        <f aca="false">IFERROR(__xludf.dummyfunction("""COMPUTED_VALUE"""),"approval::for::submitting::granted::(non::final)24")</f>
        <v>approval::for::submitting::granted::(non::final)24</v>
      </c>
      <c r="H53" s="4" t="str">
        <f aca="false">IFERROR(__xludf.dummyfunction("""COMPUTED_VALUE"""),"asking::clarification::about::code::(need::of::code)")</f>
        <v>asking::clarification::about::code::(need::of::code)</v>
      </c>
    </row>
    <row r="54" customFormat="false" ht="15.75" hidden="false" customHeight="false" outlineLevel="0" collapsed="false">
      <c r="A54" s="3" t="s">
        <v>1579</v>
      </c>
      <c r="B54" s="3" t="str">
        <f aca="false">IF(COUNTIF(Final_CB_R8_V5!$B$8:$B$20345,A54)&gt;=1,"YES","NO")</f>
        <v>YES</v>
      </c>
      <c r="C54" s="3" t="s">
        <v>1580</v>
      </c>
      <c r="D54" s="3" t="str">
        <f aca="false">IF(COUNTIF(Final_CB_R8_V5!$C$8:$C$2345,C54)&gt;=1,"YES","NO")</f>
        <v>YES</v>
      </c>
      <c r="F54" s="4" t="str">
        <f aca="false">IFERROR(__xludf.dummyfunction("""COMPUTED_VALUE"""),"informing::added::new::PR")</f>
        <v>informing::added::new::PR</v>
      </c>
      <c r="G54" s="4" t="str">
        <f aca="false">IFERROR(__xludf.dummyfunction("""COMPUTED_VALUE"""),"approval::for::submitting::granted::(non::final)25")</f>
        <v>approval::for::submitting::granted::(non::final)25</v>
      </c>
      <c r="H54" s="4" t="str">
        <f aca="false">IFERROR(__xludf.dummyfunction("""COMPUTED_VALUE"""),"asking::clarification::about::code::(need:functionallity)")</f>
        <v>asking::clarification::about::code::(need:functionallity)</v>
      </c>
    </row>
    <row r="55" customFormat="false" ht="15.75" hidden="false" customHeight="false" outlineLevel="0" collapsed="false">
      <c r="A55" s="3" t="s">
        <v>1581</v>
      </c>
      <c r="B55" s="3" t="str">
        <f aca="false">IF(COUNTIF(Final_CB_R8_V5!$B$8:$B$20345,A55)&gt;=1,"YES","NO")</f>
        <v>YES</v>
      </c>
      <c r="C55" s="3" t="s">
        <v>1582</v>
      </c>
      <c r="D55" s="3" t="str">
        <f aca="false">IF(COUNTIF(Final_CB_R8_V5!$C$8:$C$2345,C55)&gt;=1,"YES","NO")</f>
        <v>YES</v>
      </c>
      <c r="F55" s="4" t="str">
        <f aca="false">IFERROR(__xludf.dummyfunction("""COMPUTED_VALUE"""),"informing::backwards::compatebility::broken")</f>
        <v>informing::backwards::compatebility::broken</v>
      </c>
      <c r="G55" s="4" t="str">
        <f aca="false">IFERROR(__xludf.dummyfunction("""COMPUTED_VALUE"""),"approval::for::submitting::granted::(non::final)26")</f>
        <v>approval::for::submitting::granted::(non::final)26</v>
      </c>
      <c r="H55" s="4" t="str">
        <f aca="false">IFERROR(__xludf.dummyfunction("""COMPUTED_VALUE"""),"asking::clarification::about::code::(previous::version)")</f>
        <v>asking::clarification::about::code::(previous::version)</v>
      </c>
    </row>
    <row r="56" customFormat="false" ht="15.75" hidden="false" customHeight="false" outlineLevel="0" collapsed="false">
      <c r="A56" s="3" t="s">
        <v>1583</v>
      </c>
      <c r="B56" s="3" t="str">
        <f aca="false">IF(COUNTIF(Final_CB_R8_V5!$B$8:$B$20345,A56)&gt;=1,"YES","NO")</f>
        <v>YES</v>
      </c>
      <c r="C56" s="3" t="s">
        <v>1584</v>
      </c>
      <c r="D56" s="3" t="str">
        <f aca="false">IF(COUNTIF(Final_CB_R8_V5!$C$8:$C$2345,C56)&gt;=1,"YES","NO")</f>
        <v>YES</v>
      </c>
      <c r="F56" s="4" t="str">
        <f aca="false">IFERROR(__xludf.dummyfunction("""COMPUTED_VALUE"""),"informing::BP::status")</f>
        <v>informing::BP::status</v>
      </c>
      <c r="G56" s="4" t="str">
        <f aca="false">IFERROR(__xludf.dummyfunction("""COMPUTED_VALUE"""),"approval::for::submitting::granted::(non::final)27")</f>
        <v>approval::for::submitting::granted::(non::final)27</v>
      </c>
      <c r="H56" s="4" t="str">
        <f aca="false">IFERROR(__xludf.dummyfunction("""COMPUTED_VALUE"""),"asking::clarification::about::code::(previous::version::vs::actual::code)")</f>
        <v>asking::clarification::about::code::(previous::version::vs::actual::code)</v>
      </c>
    </row>
    <row r="57" customFormat="false" ht="15.75" hidden="false" customHeight="false" outlineLevel="0" collapsed="false">
      <c r="A57" s="3" t="s">
        <v>1585</v>
      </c>
      <c r="B57" s="3" t="str">
        <f aca="false">IF(COUNTIF(Final_CB_R8_V5!$B$8:$B$20345,A57)&gt;=1,"YES","NO")</f>
        <v>YES</v>
      </c>
      <c r="C57" s="3" t="s">
        <v>1586</v>
      </c>
      <c r="D57" s="3" t="str">
        <f aca="false">IF(COUNTIF(Final_CB_R8_V5!$C$8:$C$2345,C57)&gt;=1,"YES","NO")</f>
        <v>YES</v>
      </c>
      <c r="F57" s="4" t="str">
        <f aca="false">IFERROR(__xludf.dummyfunction("""COMPUTED_VALUE"""),"informing::bug::found")</f>
        <v>informing::bug::found</v>
      </c>
      <c r="G57" s="4" t="str">
        <f aca="false">IFERROR(__xludf.dummyfunction("""COMPUTED_VALUE"""),"approval::for::submitting::granted::(non::final)28")</f>
        <v>approval::for::submitting::granted::(non::final)28</v>
      </c>
      <c r="H57" s="4" t="str">
        <f aca="false">IFERROR(__xludf.dummyfunction("""COMPUTED_VALUE"""),"asking::clarification::about::code::(reason::of::changing::code)")</f>
        <v>asking::clarification::about::code::(reason::of::changing::code)</v>
      </c>
    </row>
    <row r="58" customFormat="false" ht="15.75" hidden="false" customHeight="false" outlineLevel="0" collapsed="false">
      <c r="A58" s="3" t="s">
        <v>1587</v>
      </c>
      <c r="B58" s="3" t="str">
        <f aca="false">IF(COUNTIF(Final_CB_R8_V5!$B$8:$B$20345,A58)&gt;=1,"YES","NO")</f>
        <v>YES</v>
      </c>
      <c r="C58" s="3" t="s">
        <v>1588</v>
      </c>
      <c r="D58" s="3" t="str">
        <f aca="false">IF(COUNTIF(Final_CB_R8_V5!$C$8:$C$2345,C58)&gt;=1,"YES","NO")</f>
        <v>YES</v>
      </c>
      <c r="F58" s="4" t="str">
        <f aca="false">IFERROR(__xludf.dummyfunction("""COMPUTED_VALUE"""),"informing::changes::commit::message")</f>
        <v>informing::changes::commit::message</v>
      </c>
      <c r="G58" s="4" t="str">
        <f aca="false">IFERROR(__xludf.dummyfunction("""COMPUTED_VALUE"""),"approval::for::submitting::granted::(non::final)29")</f>
        <v>approval::for::submitting::granted::(non::final)29</v>
      </c>
      <c r="H58" s="4" t="str">
        <f aca="false">IFERROR(__xludf.dummyfunction("""COMPUTED_VALUE"""),"asking::clarification::about::code::(reason::of::the:.code)")</f>
        <v>asking::clarification::about::code::(reason::of::the:.code)</v>
      </c>
    </row>
    <row r="59" customFormat="false" ht="15.75" hidden="false" customHeight="false" outlineLevel="0" collapsed="false">
      <c r="A59" s="3" t="s">
        <v>1589</v>
      </c>
      <c r="B59" s="3" t="str">
        <f aca="false">IF(COUNTIF(Final_CB_R8_V5!$B$8:$B$20345,A59)&gt;=1,"YES","NO")</f>
        <v>YES</v>
      </c>
      <c r="C59" s="3" t="s">
        <v>1590</v>
      </c>
      <c r="D59" s="3" t="str">
        <f aca="false">IF(COUNTIF(Final_CB_R8_V5!$C$8:$C$2345,C59)&gt;=1,"YES","NO")</f>
        <v>YES</v>
      </c>
      <c r="F59" s="4" t="str">
        <f aca="false">IFERROR(__xludf.dummyfunction("""COMPUTED_VALUE"""),"informing::developing::status::(of::suggested::changes)")</f>
        <v>informing::developing::status::(of::suggested::changes)</v>
      </c>
      <c r="G59" s="4" t="str">
        <f aca="false">IFERROR(__xludf.dummyfunction("""COMPUTED_VALUE"""),"approval::for::submitting::granted::(non::final)3")</f>
        <v>approval::for::submitting::granted::(non::final)3</v>
      </c>
      <c r="H59" s="4" t="str">
        <f aca="false">IFERROR(__xludf.dummyfunction("""COMPUTED_VALUE"""),"asking::clarification::about::code::(reason::of::the::design)")</f>
        <v>asking::clarification::about::code::(reason::of::the::design)</v>
      </c>
    </row>
    <row r="60" customFormat="false" ht="15.75" hidden="false" customHeight="false" outlineLevel="0" collapsed="false">
      <c r="A60" s="3" t="s">
        <v>1591</v>
      </c>
      <c r="B60" s="3" t="str">
        <f aca="false">IF(COUNTIF(Final_CB_R8_V5!$B$8:$B$20345,A60)&gt;=1,"YES","NO")</f>
        <v>YES</v>
      </c>
      <c r="C60" s="3" t="s">
        <v>1592</v>
      </c>
      <c r="D60" s="3" t="str">
        <f aca="false">IF(COUNTIF(Final_CB_R8_V5!$C$8:$C$2345,C60)&gt;=1,"YES","NO")</f>
        <v>YES</v>
      </c>
      <c r="F60" s="4" t="str">
        <f aca="false">IFERROR(__xludf.dummyfunction("""COMPUTED_VALUE"""),"informing::error::in::CI::system")</f>
        <v>informing::error::in::CI::system</v>
      </c>
      <c r="G60" s="4" t="str">
        <f aca="false">IFERROR(__xludf.dummyfunction("""COMPUTED_VALUE"""),"approval::for::submitting::granted::(non::final)30")</f>
        <v>approval::for::submitting::granted::(non::final)30</v>
      </c>
      <c r="H60" s="4" t="str">
        <f aca="false">IFERROR(__xludf.dummyfunction("""COMPUTED_VALUE"""),"asking::clarification::about::code::(test::possible::change)")</f>
        <v>asking::clarification::about::code::(test::possible::change)</v>
      </c>
    </row>
    <row r="61" customFormat="false" ht="15.75" hidden="false" customHeight="false" outlineLevel="0" collapsed="false">
      <c r="A61" s="3" t="s">
        <v>1593</v>
      </c>
      <c r="B61" s="3" t="str">
        <f aca="false">IF(COUNTIF(Final_CB_R8_V5!$B$8:$B$20345,A61)&gt;=1,"YES","NO")</f>
        <v>YES</v>
      </c>
      <c r="C61" s="3" t="s">
        <v>1594</v>
      </c>
      <c r="D61" s="3" t="str">
        <f aca="false">IF(COUNTIF(Final_CB_R8_V5!$C$8:$C$2345,C61)&gt;=1,"YES","NO")</f>
        <v>YES</v>
      </c>
      <c r="F61" s="4" t="str">
        <f aca="false">IFERROR(__xludf.dummyfunction("""COMPUTED_VALUE"""),"informing::error::in::code")</f>
        <v>informing::error::in::code</v>
      </c>
      <c r="G61" s="4" t="str">
        <f aca="false">IFERROR(__xludf.dummyfunction("""COMPUTED_VALUE"""),"approval::for::submitting::granted::(non::final)31")</f>
        <v>approval::for::submitting::granted::(non::final)31</v>
      </c>
      <c r="H61" s="4" t="str">
        <f aca="false">IFERROR(__xludf.dummyfunction("""COMPUTED_VALUE"""),"asking::clarification::about::code::(tests::result::specific::case)")</f>
        <v>asking::clarification::about::code::(tests::result::specific::case)</v>
      </c>
    </row>
    <row r="62" customFormat="false" ht="15.75" hidden="false" customHeight="false" outlineLevel="0" collapsed="false">
      <c r="A62" s="3" t="s">
        <v>1595</v>
      </c>
      <c r="B62" s="3" t="str">
        <f aca="false">IF(COUNTIF(Final_CB_R8_V5!$B$8:$B$20345,A62)&gt;=1,"YES","NO")</f>
        <v>YES</v>
      </c>
      <c r="C62" s="3" t="s">
        <v>1596</v>
      </c>
      <c r="D62" s="3" t="str">
        <f aca="false">IF(COUNTIF(Final_CB_R8_V5!$C$8:$C$2345,C62)&gt;=1,"YES","NO")</f>
        <v>YES</v>
      </c>
      <c r="F62" s="4" t="str">
        <f aca="false">IFERROR(__xludf.dummyfunction("""COMPUTED_VALUE"""),"informing::existing::dependency::(another::project)::of::the::change::are::ready")</f>
        <v>informing::existing::dependency::(another::project)::of::the::change::are::ready</v>
      </c>
      <c r="G62" s="4" t="str">
        <f aca="false">IFERROR(__xludf.dummyfunction("""COMPUTED_VALUE"""),"approval::for::submitting::granted::(non::final)32")</f>
        <v>approval::for::submitting::granted::(non::final)32</v>
      </c>
      <c r="H62" s="4" t="str">
        <f aca="false">IFERROR(__xludf.dummyfunction("""COMPUTED_VALUE"""),"asking::clarification::about::code::(unnecesary::loop)")</f>
        <v>asking::clarification::about::code::(unnecesary::loop)</v>
      </c>
    </row>
    <row r="63" customFormat="false" ht="15.75" hidden="false" customHeight="false" outlineLevel="0" collapsed="false">
      <c r="A63" s="3" t="s">
        <v>1597</v>
      </c>
      <c r="B63" s="3" t="str">
        <f aca="false">IF(COUNTIF(Final_CB_R8_V5!$B$8:$B$20345,A63)&gt;=1,"YES","NO")</f>
        <v>YES</v>
      </c>
      <c r="C63" s="3" t="s">
        <v>1598</v>
      </c>
      <c r="D63" s="3" t="str">
        <f aca="false">IF(COUNTIF(Final_CB_R8_V5!$C$8:$C$2345,C63)&gt;=1,"YES","NO")</f>
        <v>YES</v>
      </c>
      <c r="F63" s="4" t="str">
        <f aca="false">IFERROR(__xludf.dummyfunction("""COMPUTED_VALUE"""),"informing::FFE::(feature::freeze::exception)::lifted")</f>
        <v>informing::FFE::(feature::freeze::exception)::lifted</v>
      </c>
      <c r="G63" s="4" t="str">
        <f aca="false">IFERROR(__xludf.dummyfunction("""COMPUTED_VALUE"""),"approval::for::submitting::granted::(non::final)33")</f>
        <v>approval::for::submitting::granted::(non::final)33</v>
      </c>
      <c r="H63" s="4" t="str">
        <f aca="false">IFERROR(__xludf.dummyfunction("""COMPUTED_VALUE"""),"asking::clarification::about::code::(unnecesary::method::calling)")</f>
        <v>asking::clarification::about::code::(unnecesary::method::calling)</v>
      </c>
    </row>
    <row r="64" customFormat="false" ht="15.75" hidden="false" customHeight="false" outlineLevel="0" collapsed="false">
      <c r="A64" s="3" t="s">
        <v>1599</v>
      </c>
      <c r="B64" s="3" t="str">
        <f aca="false">IF(COUNTIF(Final_CB_R8_V5!$B$8:$B$20345,A64)&gt;=1,"YES","NO")</f>
        <v>YES</v>
      </c>
      <c r="C64" s="3" t="s">
        <v>1600</v>
      </c>
      <c r="D64" s="3" t="str">
        <f aca="false">IF(COUNTIF(Final_CB_R8_V5!$C$8:$C$2345,C64)&gt;=1,"YES","NO")</f>
        <v>YES</v>
      </c>
      <c r="F64" s="4" t="str">
        <f aca="false">IFERROR(__xludf.dummyfunction("""COMPUTED_VALUE"""),"informing::lgtm::(+1)")</f>
        <v>informing::lgtm::(+1)</v>
      </c>
      <c r="G64" s="4" t="str">
        <f aca="false">IFERROR(__xludf.dummyfunction("""COMPUTED_VALUE"""),"approval::for::submitting::granted::(non::final)34")</f>
        <v>approval::for::submitting::granted::(non::final)34</v>
      </c>
      <c r="H64" s="4" t="str">
        <f aca="false">IFERROR(__xludf.dummyfunction("""COMPUTED_VALUE"""),"asking::clarification::about::code::(unnecesary::parentheses)")</f>
        <v>asking::clarification::about::code::(unnecesary::parentheses)</v>
      </c>
    </row>
    <row r="65" customFormat="false" ht="15.75" hidden="false" customHeight="false" outlineLevel="0" collapsed="false">
      <c r="A65" s="3" t="s">
        <v>1601</v>
      </c>
      <c r="B65" s="3" t="str">
        <f aca="false">IF(COUNTIF(Final_CB_R8_V5!$B$8:$B$20345,A65)&gt;=1,"YES","NO")</f>
        <v>YES</v>
      </c>
      <c r="C65" s="3" t="s">
        <v>1602</v>
      </c>
      <c r="D65" s="3" t="str">
        <f aca="false">IF(COUNTIF(Final_CB_R8_V5!$C$8:$C$2345,C65)&gt;=1,"YES","NO")</f>
        <v>YES</v>
      </c>
      <c r="F65" s="4" t="str">
        <f aca="false">IFERROR(__xludf.dummyfunction("""COMPUTED_VALUE"""),"informing::lost::in::squash")</f>
        <v>informing::lost::in::squash</v>
      </c>
      <c r="G65" s="4" t="str">
        <f aca="false">IFERROR(__xludf.dummyfunction("""COMPUTED_VALUE"""),"approval::for::submitting::granted::(non::final)35")</f>
        <v>approval::for::submitting::granted::(non::final)35</v>
      </c>
      <c r="H65" s="4" t="str">
        <f aca="false">IFERROR(__xludf.dummyfunction("""COMPUTED_VALUE"""),"asking::clarification::about::project::(version)")</f>
        <v>asking::clarification::about::project::(version)</v>
      </c>
    </row>
    <row r="66" customFormat="false" ht="15.75" hidden="false" customHeight="false" outlineLevel="0" collapsed="false">
      <c r="A66" s="3" t="s">
        <v>1603</v>
      </c>
      <c r="B66" s="3" t="str">
        <f aca="false">IF(COUNTIF(Final_CB_R8_V5!$B$8:$B$20345,A66)&gt;=1,"YES","NO")</f>
        <v>YES</v>
      </c>
      <c r="C66" s="3" t="s">
        <v>1604</v>
      </c>
      <c r="D66" s="3" t="str">
        <f aca="false">IF(COUNTIF(Final_CB_R8_V5!$C$8:$C$2345,C66)&gt;=1,"YES","NO")</f>
        <v>YES</v>
      </c>
      <c r="F66" s="4" t="str">
        <f aca="false">IFERROR(__xludf.dummyfunction("""COMPUTED_VALUE"""),"informing::lost::progress::(code::gone)")</f>
        <v>informing::lost::progress::(code::gone)</v>
      </c>
      <c r="G66" s="4" t="str">
        <f aca="false">IFERROR(__xludf.dummyfunction("""COMPUTED_VALUE"""),"approval::for::submitting::granted::(non::final)36")</f>
        <v>approval::for::submitting::granted::(non::final)36</v>
      </c>
      <c r="H66" s="4" t="str">
        <f aca="false">IFERROR(__xludf.dummyfunction("""COMPUTED_VALUE"""),"asking::clarification::change::(change::method)")</f>
        <v>asking::clarification::change::(change::method)</v>
      </c>
    </row>
    <row r="67" customFormat="false" ht="15.75" hidden="false" customHeight="false" outlineLevel="0" collapsed="false">
      <c r="A67" s="3" t="s">
        <v>1605</v>
      </c>
      <c r="B67" s="3" t="str">
        <f aca="false">IF(COUNTIF(Final_CB_R8_V5!$B$8:$B$20345,A67)&gt;=1,"YES","NO")</f>
        <v>YES</v>
      </c>
      <c r="C67" s="3" t="s">
        <v>1606</v>
      </c>
      <c r="D67" s="3" t="str">
        <f aca="false">IF(COUNTIF(Final_CB_R8_V5!$C$8:$C$2345,C67)&gt;=1,"YES","NO")</f>
        <v>YES</v>
      </c>
      <c r="F67" s="4" t="str">
        <f aca="false">IFERROR(__xludf.dummyfunction("""COMPUTED_VALUE"""),"informing::possible::bug")</f>
        <v>informing::possible::bug</v>
      </c>
      <c r="G67" s="4" t="str">
        <f aca="false">IFERROR(__xludf.dummyfunction("""COMPUTED_VALUE"""),"approval::for::submitting::granted::(non::final)4")</f>
        <v>approval::for::submitting::granted::(non::final)4</v>
      </c>
      <c r="H67" s="4" t="str">
        <f aca="false">IFERROR(__xludf.dummyfunction("""COMPUTED_VALUE"""),"asking::clarification::developing::process::(code::and::managment::of::patches)")</f>
        <v>asking::clarification::developing::process::(code::and::managment::of::patches)</v>
      </c>
    </row>
    <row r="68" customFormat="false" ht="15.75" hidden="false" customHeight="false" outlineLevel="0" collapsed="false">
      <c r="A68" s="3" t="s">
        <v>1607</v>
      </c>
      <c r="B68" s="3" t="str">
        <f aca="false">IF(COUNTIF(Final_CB_R8_V5!$B$8:$B$20345,A68)&gt;=1,"YES","NO")</f>
        <v>YES</v>
      </c>
      <c r="C68" s="3" t="s">
        <v>1608</v>
      </c>
      <c r="D68" s="3" t="str">
        <f aca="false">IF(COUNTIF(Final_CB_R8_V5!$C$8:$C$2345,C68)&gt;=1,"YES","NO")</f>
        <v>YES</v>
      </c>
      <c r="F68" s="4" t="str">
        <f aca="false">IFERROR(__xludf.dummyfunction("""COMPUTED_VALUE"""),"informing::reason::failure")</f>
        <v>informing::reason::failure</v>
      </c>
      <c r="G68" s="4" t="str">
        <f aca="false">IFERROR(__xludf.dummyfunction("""COMPUTED_VALUE"""),"approval::for::submitting::granted::(non::final)5")</f>
        <v>approval::for::submitting::granted::(non::final)5</v>
      </c>
      <c r="H68" s="4" t="str">
        <f aca="false">IFERROR(__xludf.dummyfunction("""COMPUTED_VALUE"""),"asking::clarification::developing::process::(need::to::file::BP)")</f>
        <v>asking::clarification::developing::process::(need::to::file::BP)</v>
      </c>
    </row>
    <row r="69" customFormat="false" ht="15.75" hidden="false" customHeight="false" outlineLevel="0" collapsed="false">
      <c r="A69" s="3" t="s">
        <v>1609</v>
      </c>
      <c r="B69" s="3" t="str">
        <f aca="false">IF(COUNTIF(Final_CB_R8_V5!$B$8:$B$20345,A69)&gt;=1,"YES","NO")</f>
        <v>YES</v>
      </c>
      <c r="C69" s="3" t="s">
        <v>1610</v>
      </c>
      <c r="D69" s="3" t="str">
        <f aca="false">IF(COUNTIF(Final_CB_R8_V5!$C$8:$C$2345,C69)&gt;=1,"YES","NO")</f>
        <v>YES</v>
      </c>
      <c r="F69" s="4" t="str">
        <f aca="false">IFERROR(__xludf.dummyfunction("""COMPUTED_VALUE"""),"informing::rebase")</f>
        <v>informing::rebase</v>
      </c>
      <c r="G69" s="4" t="str">
        <f aca="false">IFERROR(__xludf.dummyfunction("""COMPUTED_VALUE"""),"approval::for::submitting::granted::(non::final)6")</f>
        <v>approval::for::submitting::granted::(non::final)6</v>
      </c>
      <c r="H69" s="4" t="str">
        <f aca="false">IFERROR(__xludf.dummyfunction("""COMPUTED_VALUE"""),"asking::clarification::developing::process::(voting::approved::or::not)")</f>
        <v>asking::clarification::developing::process::(voting::approved::or::not)</v>
      </c>
    </row>
    <row r="70" customFormat="false" ht="15.75" hidden="false" customHeight="false" outlineLevel="0" collapsed="false">
      <c r="A70" s="3" t="s">
        <v>1611</v>
      </c>
      <c r="B70" s="3" t="str">
        <f aca="false">IF(COUNTIF(Final_CB_R8_V5!$B$8:$B$20345,A70)&gt;=1,"YES","NO")</f>
        <v>YES</v>
      </c>
      <c r="C70" s="3" t="s">
        <v>1612</v>
      </c>
      <c r="D70" s="3" t="str">
        <f aca="false">IF(COUNTIF(Final_CB_R8_V5!$C$8:$C$2345,C70)&gt;=1,"YES","NO")</f>
        <v>YES</v>
      </c>
      <c r="F70" s="4" t="str">
        <f aca="false">IFERROR(__xludf.dummyfunction("""COMPUTED_VALUE"""),"informing::rebase2")</f>
        <v>informing::rebase2</v>
      </c>
      <c r="G70" s="4" t="str">
        <f aca="false">IFERROR(__xludf.dummyfunction("""COMPUTED_VALUE"""),"approval::for::submitting::granted::(non::final)7")</f>
        <v>approval::for::submitting::granted::(non::final)7</v>
      </c>
      <c r="H70" s="4" t="str">
        <f aca="false">IFERROR(__xludf.dummyfunction("""COMPUTED_VALUE"""),"asking::clarification::log::(content::logging::misleading)")</f>
        <v>asking::clarification::log::(content::logging::misleading)</v>
      </c>
    </row>
    <row r="71" customFormat="false" ht="15.75" hidden="false" customHeight="false" outlineLevel="0" collapsed="false">
      <c r="A71" s="3" t="s">
        <v>1613</v>
      </c>
      <c r="B71" s="3" t="str">
        <f aca="false">IF(COUNTIF(Final_CB_R8_V5!$B$8:$B$20345,A71)&gt;=1,"YES","NO")</f>
        <v>YES</v>
      </c>
      <c r="C71" s="3" t="s">
        <v>1614</v>
      </c>
      <c r="D71" s="3" t="str">
        <f aca="false">IF(COUNTIF(Final_CB_R8_V5!$C$8:$C$2345,C71)&gt;=1,"YES","NO")</f>
        <v>YES</v>
      </c>
      <c r="F71" s="4" t="str">
        <f aca="false">IFERROR(__xludf.dummyfunction("""COMPUTED_VALUE"""),"informing::rebase3")</f>
        <v>informing::rebase3</v>
      </c>
      <c r="G71" s="4" t="str">
        <f aca="false">IFERROR(__xludf.dummyfunction("""COMPUTED_VALUE"""),"approval::for::submitting::granted::(non::final)8")</f>
        <v>approval::for::submitting::granted::(non::final)8</v>
      </c>
      <c r="H71" s="4" t="str">
        <f aca="false">IFERROR(__xludf.dummyfunction("""COMPUTED_VALUE"""),"asking::clarification::missing::content::(commit::message)")</f>
        <v>asking::clarification::missing::content::(commit::message)</v>
      </c>
    </row>
    <row r="72" customFormat="false" ht="15.75" hidden="false" customHeight="false" outlineLevel="0" collapsed="false">
      <c r="A72" s="3" t="s">
        <v>1615</v>
      </c>
      <c r="B72" s="3" t="str">
        <f aca="false">IF(COUNTIF(Final_CB_R8_V5!$B$8:$B$20345,A72)&gt;=1,"YES","NO")</f>
        <v>YES</v>
      </c>
      <c r="C72" s="3" t="s">
        <v>1616</v>
      </c>
      <c r="D72" s="3" t="str">
        <f aca="false">IF(COUNTIF(Final_CB_R8_V5!$C$8:$C$2345,C72)&gt;=1,"YES","NO")</f>
        <v>YES</v>
      </c>
      <c r="F72" s="4" t="str">
        <f aca="false">IFERROR(__xludf.dummyfunction("""COMPUTED_VALUE"""),"informing::rebase4")</f>
        <v>informing::rebase4</v>
      </c>
      <c r="G72" s="4" t="str">
        <f aca="false">IFERROR(__xludf.dummyfunction("""COMPUTED_VALUE"""),"approval::for::submitting::granted::(non::final)9")</f>
        <v>approval::for::submitting::granted::(non::final)9</v>
      </c>
      <c r="H72" s="4" t="str">
        <f aca="false">IFERROR(__xludf.dummyfunction("""COMPUTED_VALUE"""),"asking::clarification::process::of::merging::changes")</f>
        <v>asking::clarification::process::of::merging::changes</v>
      </c>
    </row>
    <row r="73" customFormat="false" ht="15.75" hidden="false" customHeight="false" outlineLevel="0" collapsed="false">
      <c r="A73" s="3" t="s">
        <v>1617</v>
      </c>
      <c r="B73" s="3" t="str">
        <f aca="false">IF(COUNTIF(Final_CB_R8_V5!$B$8:$B$20345,A73)&gt;=1,"YES","NO")</f>
        <v>YES</v>
      </c>
      <c r="C73" s="3" t="s">
        <v>1618</v>
      </c>
      <c r="D73" s="3" t="str">
        <f aca="false">IF(COUNTIF(Final_CB_R8_V5!$C$8:$C$2345,C73)&gt;=1,"YES","NO")</f>
        <v>YES</v>
      </c>
      <c r="F73" s="4" t="str">
        <f aca="false">IFERROR(__xludf.dummyfunction("""COMPUTED_VALUE"""),"informing::recheck")</f>
        <v>informing::recheck</v>
      </c>
      <c r="G73" s="4" t="str">
        <f aca="false">IFERROR(__xludf.dummyfunction("""COMPUTED_VALUE"""),"approval::for::submitting::granted::(non::final)::(vote1)")</f>
        <v>approval::for::submitting::granted::(non::final)::(vote1)</v>
      </c>
      <c r="H73" s="4" t="str">
        <f aca="false">IFERROR(__xludf.dummyfunction("""COMPUTED_VALUE"""),"asking::clarification::suggestion::refactoring::(use::method/function)")</f>
        <v>asking::clarification::suggestion::refactoring::(use::method/function)</v>
      </c>
    </row>
    <row r="74" customFormat="false" ht="15.75" hidden="false" customHeight="false" outlineLevel="0" collapsed="false">
      <c r="A74" s="3" t="s">
        <v>1619</v>
      </c>
      <c r="B74" s="3" t="str">
        <f aca="false">IF(COUNTIF(Final_CB_R8_V5!$B$8:$B$20345,A74)&gt;=1,"YES","NO")</f>
        <v>YES</v>
      </c>
      <c r="C74" s="3" t="s">
        <v>1620</v>
      </c>
      <c r="D74" s="3" t="str">
        <f aca="false">IF(COUNTIF(Final_CB_R8_V5!$C$8:$C$2345,C74)&gt;=1,"YES","NO")</f>
        <v>YES</v>
      </c>
      <c r="F74" s="4" t="str">
        <f aca="false">IFERROR(__xludf.dummyfunction("""COMPUTED_VALUE"""),"informing::recheck::(experimental)")</f>
        <v>informing::recheck::(experimental)</v>
      </c>
      <c r="G74" s="4" t="str">
        <f aca="false">IFERROR(__xludf.dummyfunction("""COMPUTED_VALUE"""),"approval::for::submitting::granted::(non::final)::(vote10)")</f>
        <v>approval::for::submitting::granted::(non::final)::(vote10)</v>
      </c>
      <c r="H74" s="4" t="str">
        <f aca="false">IFERROR(__xludf.dummyfunction("""COMPUTED_VALUE"""),"asking::confirmation::of::intended::solution")</f>
        <v>asking::confirmation::of::intended::solution</v>
      </c>
    </row>
    <row r="75" customFormat="false" ht="15.75" hidden="false" customHeight="false" outlineLevel="0" collapsed="false">
      <c r="A75" s="3" t="s">
        <v>1621</v>
      </c>
      <c r="B75" s="3" t="str">
        <f aca="false">IF(COUNTIF(Final_CB_R8_V5!$B$8:$B$20345,A75)&gt;=1,"YES","NO")</f>
        <v>YES</v>
      </c>
      <c r="C75" s="3" t="s">
        <v>1622</v>
      </c>
      <c r="D75" s="3" t="str">
        <f aca="false">IF(COUNTIF(Final_CB_R8_V5!$C$8:$C$2345,C75)&gt;=1,"YES","NO")</f>
        <v>YES</v>
      </c>
      <c r="F75" s="4" t="str">
        <f aca="false">IFERROR(__xludf.dummyfunction("""COMPUTED_VALUE"""),"informing::recheck::(migrations)")</f>
        <v>informing::recheck::(migrations)</v>
      </c>
      <c r="G75" s="4" t="str">
        <f aca="false">IFERROR(__xludf.dummyfunction("""COMPUTED_VALUE"""),"approval::for::submitting::granted::(non::final)::(vote11)")</f>
        <v>approval::for::submitting::granted::(non::final)::(vote11)</v>
      </c>
      <c r="H75" s="4" t="str">
        <f aca="false">IFERROR(__xludf.dummyfunction("""COMPUTED_VALUE"""),"asking::for::clarification::about::previous::question")</f>
        <v>asking::for::clarification::about::previous::question</v>
      </c>
    </row>
    <row r="76" customFormat="false" ht="15.75" hidden="false" customHeight="false" outlineLevel="0" collapsed="false">
      <c r="A76" s="3" t="s">
        <v>1623</v>
      </c>
      <c r="B76" s="3" t="str">
        <f aca="false">IF(COUNTIF(Final_CB_R8_V5!$B$8:$B$20345,A76)&gt;=1,"YES","NO")</f>
        <v>YES</v>
      </c>
      <c r="C76" s="3" t="s">
        <v>1624</v>
      </c>
      <c r="D76" s="3" t="str">
        <f aca="false">IF(COUNTIF(Final_CB_R8_V5!$C$8:$C$2345,C76)&gt;=1,"YES","NO")</f>
        <v>YES</v>
      </c>
      <c r="F76" s="4" t="str">
        <f aca="false">IFERROR(__xludf.dummyfunction("""COMPUTED_VALUE"""),"informing::recheck::(no::bug)")</f>
        <v>informing::recheck::(no::bug)</v>
      </c>
      <c r="G76" s="4" t="str">
        <f aca="false">IFERROR(__xludf.dummyfunction("""COMPUTED_VALUE"""),"approval::for::submitting::granted::(non::final)::(vote2)")</f>
        <v>approval::for::submitting::granted::(non::final)::(vote2)</v>
      </c>
      <c r="H76" s="4" t="str">
        <f aca="false">IFERROR(__xludf.dummyfunction("""COMPUTED_VALUE"""),"asking::opinions::about::current::approach")</f>
        <v>asking::opinions::about::current::approach</v>
      </c>
    </row>
    <row r="77" customFormat="false" ht="15.75" hidden="false" customHeight="false" outlineLevel="0" collapsed="false">
      <c r="A77" s="3" t="s">
        <v>1625</v>
      </c>
      <c r="B77" s="3" t="str">
        <f aca="false">IF(COUNTIF(Final_CB_R8_V5!$B$8:$B$20345,A77)&gt;=1,"YES","NO")</f>
        <v>YES</v>
      </c>
      <c r="C77" s="3" t="s">
        <v>1626</v>
      </c>
      <c r="D77" s="3" t="str">
        <f aca="false">IF(COUNTIF(Final_CB_R8_V5!$C$8:$C$2345,C77)&gt;=1,"YES","NO")</f>
        <v>YES</v>
      </c>
      <c r="F77" s="4" t="str">
        <f aca="false">IFERROR(__xludf.dummyfunction("""COMPUTED_VALUE"""),"informing::recheck::(ste)")</f>
        <v>informing::recheck::(ste)</v>
      </c>
      <c r="G77" s="4" t="str">
        <f aca="false">IFERROR(__xludf.dummyfunction("""COMPUTED_VALUE"""),"approval::for::submitting::granted::(non::final)::(vote3)")</f>
        <v>approval::for::submitting::granted::(non::final)::(vote3)</v>
      </c>
      <c r="H77" s="4" t="str">
        <f aca="false">IFERROR(__xludf.dummyfunction("""COMPUTED_VALUE"""),"challenges::to::rebase::other::patches")</f>
        <v>challenges::to::rebase::other::patches</v>
      </c>
    </row>
    <row r="78" customFormat="false" ht="15.75" hidden="false" customHeight="false" outlineLevel="0" collapsed="false">
      <c r="A78" s="3" t="s">
        <v>1627</v>
      </c>
      <c r="B78" s="3" t="str">
        <f aca="false">IF(COUNTIF(Final_CB_R8_V5!$B$8:$B$20345,A78)&gt;=1,"YES","NO")</f>
        <v>YES</v>
      </c>
      <c r="C78" s="3" t="s">
        <v>1628</v>
      </c>
      <c r="D78" s="3" t="str">
        <f aca="false">IF(COUNTIF(Final_CB_R8_V5!$C$8:$C$2345,C78)&gt;=1,"YES","NO")</f>
        <v>YES</v>
      </c>
      <c r="F78" s="4" t="str">
        <f aca="false">IFERROR(__xludf.dummyfunction("""COMPUTED_VALUE"""),"informing::recheck::(xenserver)")</f>
        <v>informing::recheck::(xenserver)</v>
      </c>
      <c r="G78" s="4" t="str">
        <f aca="false">IFERROR(__xludf.dummyfunction("""COMPUTED_VALUE"""),"approval::for::submitting::granted::(non::final)::(vote4)")</f>
        <v>approval::for::submitting::granted::(non::final)::(vote4)</v>
      </c>
      <c r="H78" s="4" t="str">
        <f aca="false">IFERROR(__xludf.dummyfunction("""COMPUTED_VALUE"""),"change::ID")</f>
        <v>change::ID</v>
      </c>
    </row>
    <row r="79" customFormat="false" ht="15.75" hidden="false" customHeight="false" outlineLevel="0" collapsed="false">
      <c r="A79" s="3" t="s">
        <v>1629</v>
      </c>
      <c r="B79" s="3" t="str">
        <f aca="false">IF(COUNTIF(Final_CB_R8_V5!$B$8:$B$20345,A79)&gt;=1,"YES","NO")</f>
        <v>YES</v>
      </c>
      <c r="C79" s="3" t="s">
        <v>1630</v>
      </c>
      <c r="D79" s="3" t="str">
        <f aca="false">IF(COUNTIF(Final_CB_R8_V5!$C$8:$C$2345,C79)&gt;=1,"YES","NO")</f>
        <v>YES</v>
      </c>
      <c r="F79" s="4" t="str">
        <f aca="false">IFERROR(__xludf.dummyfunction("""COMPUTED_VALUE"""),"informing::removing::code::that::was::commented::on")</f>
        <v>informing::removing::code::that::was::commented::on</v>
      </c>
      <c r="G79" s="4" t="str">
        <f aca="false">IFERROR(__xludf.dummyfunction("""COMPUTED_VALUE"""),"approval::for::submitting::granted::(non::final)::(vote5)")</f>
        <v>approval::for::submitting::granted::(non::final)::(vote5)</v>
      </c>
      <c r="H79" s="4" t="str">
        <f aca="false">IFERROR(__xludf.dummyfunction("""COMPUTED_VALUE"""),"commenting::about::the::imposssibility::of::using::something::(decorators)")</f>
        <v>commenting::about::the::imposssibility::of::using::something::(decorators)</v>
      </c>
    </row>
    <row r="80" customFormat="false" ht="15.75" hidden="false" customHeight="false" outlineLevel="0" collapsed="false">
      <c r="A80" s="3" t="s">
        <v>1631</v>
      </c>
      <c r="B80" s="3" t="str">
        <f aca="false">IF(COUNTIF(Final_CB_R8_V5!$B$8:$B$20345,A80)&gt;=1,"YES","NO")</f>
        <v>YES</v>
      </c>
      <c r="C80" s="3" t="s">
        <v>1632</v>
      </c>
      <c r="D80" s="3" t="str">
        <f aca="false">IF(COUNTIF(Final_CB_R8_V5!$C$8:$C$2345,C80)&gt;=1,"YES","NO")</f>
        <v>YES</v>
      </c>
      <c r="F80" s="4" t="str">
        <f aca="false">IFERROR(__xludf.dummyfunction("""COMPUTED_VALUE"""),"informing::run::tests::(manual)")</f>
        <v>informing::run::tests::(manual)</v>
      </c>
      <c r="G80" s="4" t="str">
        <f aca="false">IFERROR(__xludf.dummyfunction("""COMPUTED_VALUE"""),"approval::for::submitting::granted::(non::final)::(vote6)")</f>
        <v>approval::for::submitting::granted::(non::final)::(vote6)</v>
      </c>
      <c r="H80" s="4" t="str">
        <f aca="false">IFERROR(__xludf.dummyfunction("""COMPUTED_VALUE"""),"comments::addressed")</f>
        <v>comments::addressed</v>
      </c>
    </row>
    <row r="81" customFormat="false" ht="15.75" hidden="false" customHeight="false" outlineLevel="0" collapsed="false">
      <c r="A81" s="3" t="s">
        <v>1633</v>
      </c>
      <c r="B81" s="3" t="str">
        <f aca="false">IF(COUNTIF(Final_CB_R8_V5!$B$8:$B$20345,A81)&gt;=1,"YES","NO")</f>
        <v>YES</v>
      </c>
      <c r="C81" s="3" t="s">
        <v>1634</v>
      </c>
      <c r="D81" s="3" t="str">
        <f aca="false">IF(COUNTIF(Final_CB_R8_V5!$C$8:$C$2345,C81)&gt;=1,"YES","NO")</f>
        <v>YES</v>
      </c>
      <c r="F81" s="4" t="str">
        <f aca="false">IFERROR(__xludf.dummyfunction("""COMPUTED_VALUE"""),"informing::tests::added::(no::inline::message)")</f>
        <v>informing::tests::added::(no::inline::message)</v>
      </c>
      <c r="G81" s="4" t="str">
        <f aca="false">IFERROR(__xludf.dummyfunction("""COMPUTED_VALUE"""),"approval::for::submitting::granted::(non::final)::(vote7)")</f>
        <v>approval::for::submitting::granted::(non::final)::(vote7)</v>
      </c>
      <c r="H81" s="4" t="str">
        <f aca="false">IFERROR(__xludf.dummyfunction("""COMPUTED_VALUE"""),"complaining::of::the::developing::process::(modifying::unnecessary::files)")</f>
        <v>complaining::of::the::developing::process::(modifying::unnecessary::files)</v>
      </c>
    </row>
    <row r="82" customFormat="false" ht="15.75" hidden="false" customHeight="false" outlineLevel="0" collapsed="false">
      <c r="A82" s="3" t="s">
        <v>1635</v>
      </c>
      <c r="B82" s="3" t="str">
        <f aca="false">IF(COUNTIF(Final_CB_R8_V5!$B$8:$B$20345,A82)&gt;=1,"YES","NO")</f>
        <v>YES</v>
      </c>
      <c r="C82" s="3" t="s">
        <v>1636</v>
      </c>
      <c r="D82" s="3" t="str">
        <f aca="false">IF(COUNTIF(Final_CB_R8_V5!$C$8:$C$2345,C82)&gt;=1,"YES","NO")</f>
        <v>YES</v>
      </c>
      <c r="F82" s="4" t="str">
        <f aca="false">IFERROR(__xludf.dummyfunction("""COMPUTED_VALUE"""),"informing::tests::passing::(different::envs)")</f>
        <v>informing::tests::passing::(different::envs)</v>
      </c>
      <c r="G82" s="4" t="str">
        <f aca="false">IFERROR(__xludf.dummyfunction("""COMPUTED_VALUE"""),"approval::for::submitting::granted::(non::final)::(vote8)")</f>
        <v>approval::for::submitting::granted::(non::final)::(vote8)</v>
      </c>
      <c r="H82" s="4" t="str">
        <f aca="false">IFERROR(__xludf.dummyfunction("""COMPUTED_VALUE"""),"complaining::of::the::developing::process::(speed::reviews)")</f>
        <v>complaining::of::the::developing::process::(speed::reviews)</v>
      </c>
    </row>
    <row r="83" customFormat="false" ht="15.75" hidden="false" customHeight="false" outlineLevel="0" collapsed="false">
      <c r="A83" s="3" t="s">
        <v>1637</v>
      </c>
      <c r="B83" s="3" t="str">
        <f aca="false">IF(COUNTIF(Final_CB_R8_V5!$B$8:$B$20345,A83)&gt;=1,"YES","NO")</f>
        <v>YES</v>
      </c>
      <c r="C83" s="3" t="s">
        <v>1638</v>
      </c>
      <c r="D83" s="3" t="str">
        <f aca="false">IF(COUNTIF(Final_CB_R8_V5!$C$8:$C$2345,C83)&gt;=1,"YES","NO")</f>
        <v>YES</v>
      </c>
      <c r="F83" s="4" t="str">
        <f aca="false">IFERROR(__xludf.dummyfunction("""COMPUTED_VALUE"""),"informing::that::there::are::no::bugs")</f>
        <v>informing::that::there::are::no::bugs</v>
      </c>
      <c r="G83" s="4" t="str">
        <f aca="false">IFERROR(__xludf.dummyfunction("""COMPUTED_VALUE"""),"approval::for::submitting::granted::(non::final)::core::rev1")</f>
        <v>approval::for::submitting::granted::(non::final)::core::rev1</v>
      </c>
      <c r="H83" s="4" t="str">
        <f aca="false">IFERROR(__xludf.dummyfunction("""COMPUTED_VALUE"""),"complaining::of::the::developing::process::(tests)")</f>
        <v>complaining::of::the::developing::process::(tests)</v>
      </c>
    </row>
    <row r="84" customFormat="false" ht="15.75" hidden="false" customHeight="false" outlineLevel="0" collapsed="false">
      <c r="A84" s="3" t="s">
        <v>1639</v>
      </c>
      <c r="B84" s="3" t="str">
        <f aca="false">IF(COUNTIF(Final_CB_R8_V5!$B$8:$B$20345,A84)&gt;=1,"YES","NO")</f>
        <v>YES</v>
      </c>
      <c r="C84" s="3" t="s">
        <v>1640</v>
      </c>
      <c r="D84" s="3" t="str">
        <f aca="false">IF(COUNTIF(Final_CB_R8_V5!$C$8:$C$2345,C84)&gt;=1,"YES","NO")</f>
        <v>YES</v>
      </c>
      <c r="F84" s="4" t="str">
        <f aca="false">IFERROR(__xludf.dummyfunction("""COMPUTED_VALUE"""),"informing::update")</f>
        <v>informing::update</v>
      </c>
      <c r="G84" s="4" t="str">
        <f aca="false">IFERROR(__xludf.dummyfunction("""COMPUTED_VALUE"""),"approval::for::submitting::granted::(non::final)::core::rev10")</f>
        <v>approval::for::submitting::granted::(non::final)::core::rev10</v>
      </c>
      <c r="H84" s="4" t="str">
        <f aca="false">IFERROR(__xludf.dummyfunction("""COMPUTED_VALUE"""),"conditioning::a::refactoring::(only::if::further::changes::are::needed)")</f>
        <v>conditioning::a::refactoring::(only::if::further::changes::are::needed)</v>
      </c>
    </row>
    <row r="85" customFormat="false" ht="15.75" hidden="false" customHeight="false" outlineLevel="0" collapsed="false">
      <c r="A85" s="3" t="s">
        <v>1641</v>
      </c>
      <c r="B85" s="3" t="str">
        <f aca="false">IF(COUNTIF(Final_CB_R8_V5!$B$8:$B$20345,A85)&gt;=1,"YES","NO")</f>
        <v>YES</v>
      </c>
      <c r="C85" s="3" t="s">
        <v>1642</v>
      </c>
      <c r="D85" s="3" t="str">
        <f aca="false">IF(COUNTIF(Final_CB_R8_V5!$C$8:$C$2345,C85)&gt;=1,"YES","NO")</f>
        <v>YES</v>
      </c>
      <c r="F85" s="4" t="str">
        <f aca="false">IFERROR(__xludf.dummyfunction("""COMPUTED_VALUE"""),"informing::using::GATE::(testing::platform)::for::pep8::due::to::they::are::not::working")</f>
        <v>informing::using::GATE::(testing::platform)::for::pep8::due::to::they::are::not::working</v>
      </c>
      <c r="G85" s="4" t="str">
        <f aca="false">IFERROR(__xludf.dummyfunction("""COMPUTED_VALUE"""),"approval::for::submitting::granted::(non::final)::core::rev11")</f>
        <v>approval::for::submitting::granted::(non::final)::core::rev11</v>
      </c>
      <c r="H85" s="4" t="str">
        <f aca="false">IFERROR(__xludf.dummyfunction("""COMPUTED_VALUE"""),"discussing::about::another::patches::(dependencies)")</f>
        <v>discussing::about::another::patches::(dependencies)</v>
      </c>
    </row>
    <row r="86" customFormat="false" ht="15.75" hidden="false" customHeight="false" outlineLevel="0" collapsed="false">
      <c r="A86" s="3" t="s">
        <v>1643</v>
      </c>
      <c r="B86" s="3" t="str">
        <f aca="false">IF(COUNTIF(Final_CB_R8_V5!$B$8:$B$20345,A86)&gt;=1,"YES","NO")</f>
        <v>YES</v>
      </c>
      <c r="C86" s="3" t="s">
        <v>1644</v>
      </c>
      <c r="D86" s="3" t="str">
        <f aca="false">IF(COUNTIF(Final_CB_R8_V5!$C$8:$C$2345,C86)&gt;=1,"YES","NO")</f>
        <v>YES</v>
      </c>
      <c r="F86" s="4" t="str">
        <f aca="false">IFERROR(__xludf.dummyfunction("""COMPUTED_VALUE"""),"introducing::solution::design::(explanation)")</f>
        <v>introducing::solution::design::(explanation)</v>
      </c>
      <c r="G86" s="4" t="str">
        <f aca="false">IFERROR(__xludf.dummyfunction("""COMPUTED_VALUE"""),"approval::for::submitting::granted::(non::final)::core::rev2")</f>
        <v>approval::for::submitting::granted::(non::final)::core::rev2</v>
      </c>
      <c r="H86" s="4" t="str">
        <f aca="false">IFERROR(__xludf.dummyfunction("""COMPUTED_VALUE"""),"discussing::about::another::patches::(dependencies::status)")</f>
        <v>discussing::about::another::patches::(dependencies::status)</v>
      </c>
    </row>
    <row r="87" customFormat="false" ht="15.75" hidden="false" customHeight="false" outlineLevel="0" collapsed="false">
      <c r="A87" s="3" t="s">
        <v>1645</v>
      </c>
      <c r="B87" s="3" t="str">
        <f aca="false">IF(COUNTIF(Final_CB_R8_V5!$B$8:$B$20345,A87)&gt;=1,"YES","NO")</f>
        <v>YES</v>
      </c>
      <c r="C87" s="3" t="s">
        <v>1646</v>
      </c>
      <c r="D87" s="3" t="str">
        <f aca="false">IF(COUNTIF(Final_CB_R8_V5!$C$8:$C$2345,C87)&gt;=1,"YES","NO")</f>
        <v>YES</v>
      </c>
      <c r="F87" s="4" t="str">
        <f aca="false">IFERROR(__xludf.dummyfunction("""COMPUTED_VALUE"""),"Issues::(BP/bugs)::related::to::the::change")</f>
        <v>Issues::(BP/bugs)::related::to::the::change</v>
      </c>
      <c r="G87" s="4" t="str">
        <f aca="false">IFERROR(__xludf.dummyfunction("""COMPUTED_VALUE"""),"approval::for::submitting::granted::(non::final)::core::rev3")</f>
        <v>approval::for::submitting::granted::(non::final)::core::rev3</v>
      </c>
      <c r="H87" s="4" t="str">
        <f aca="false">IFERROR(__xludf.dummyfunction("""COMPUTED_VALUE"""),"discussing::about::code::(no::need::of::code)")</f>
        <v>discussing::about::code::(no::need::of::code)</v>
      </c>
    </row>
    <row r="88" customFormat="false" ht="15.75" hidden="false" customHeight="false" outlineLevel="0" collapsed="false">
      <c r="A88" s="3" t="s">
        <v>1647</v>
      </c>
      <c r="B88" s="3" t="str">
        <f aca="false">IF(COUNTIF(Final_CB_R8_V5!$B$8:$B$20345,A88)&gt;=1,"YES","NO")</f>
        <v>YES</v>
      </c>
      <c r="C88" s="3" t="s">
        <v>1648</v>
      </c>
      <c r="D88" s="3" t="str">
        <f aca="false">IF(COUNTIF(Final_CB_R8_V5!$C$8:$C$2345,C88)&gt;=1,"YES","NO")</f>
        <v>YES</v>
      </c>
      <c r="F88" s="4" t="str">
        <f aca="false">IFERROR(__xludf.dummyfunction("""COMPUTED_VALUE"""),"Issues::(BP/bugs)::that::caused::the::change")</f>
        <v>Issues::(BP/bugs)::that::caused::the::change</v>
      </c>
      <c r="G88" s="4" t="str">
        <f aca="false">IFERROR(__xludf.dummyfunction("""COMPUTED_VALUE"""),"approval::for::submitting::granted::(non::final)::core::rev4")</f>
        <v>approval::for::submitting::granted::(non::final)::core::rev4</v>
      </c>
      <c r="H88" s="4" t="str">
        <f aca="false">IFERROR(__xludf.dummyfunction("""COMPUTED_VALUE"""),"discussing::about::intended::solution::design")</f>
        <v>discussing::about::intended::solution::design</v>
      </c>
    </row>
    <row r="89" customFormat="false" ht="15.75" hidden="false" customHeight="false" outlineLevel="0" collapsed="false">
      <c r="A89" s="3" t="s">
        <v>1649</v>
      </c>
      <c r="B89" s="3" t="str">
        <f aca="false">IF(COUNTIF(Final_CB_R8_V5!$B$8:$B$20345,A89)&gt;=1,"YES","NO")</f>
        <v>YES</v>
      </c>
      <c r="C89" s="3" t="s">
        <v>1650</v>
      </c>
      <c r="D89" s="3" t="str">
        <f aca="false">IF(COUNTIF(Final_CB_R8_V5!$C$8:$C$2345,C89)&gt;=1,"YES","NO")</f>
        <v>YES</v>
      </c>
      <c r="F89" s="4" t="str">
        <f aca="false">IFERROR(__xludf.dummyfunction("""COMPUTED_VALUE"""),"links::to::twitter")</f>
        <v>links::to::twitter</v>
      </c>
      <c r="G89" s="4" t="str">
        <f aca="false">IFERROR(__xludf.dummyfunction("""COMPUTED_VALUE"""),"approval::for::submitting::granted::(non::final)::core::rev5")</f>
        <v>approval::for::submitting::granted::(non::final)::core::rev5</v>
      </c>
      <c r="H89" s="4" t="str">
        <f aca="false">IFERROR(__xludf.dummyfunction("""COMPUTED_VALUE"""),"discussing::about::the::change::approach::discussed::previously::(email)")</f>
        <v>discussing::about::the::change::approach::discussed::previously::(email)</v>
      </c>
    </row>
    <row r="90" customFormat="false" ht="15.75" hidden="false" customHeight="false" outlineLevel="0" collapsed="false">
      <c r="A90" s="3" t="s">
        <v>1651</v>
      </c>
      <c r="B90" s="3" t="str">
        <f aca="false">IF(COUNTIF(Final_CB_R8_V5!$B$8:$B$20345,A90)&gt;=1,"YES","NO")</f>
        <v>YES</v>
      </c>
      <c r="C90" s="3" t="s">
        <v>1652</v>
      </c>
      <c r="D90" s="3" t="str">
        <f aca="false">IF(COUNTIF(Final_CB_R8_V5!$C$8:$C$2345,C90)&gt;=1,"YES","NO")</f>
        <v>YES</v>
      </c>
      <c r="F90" s="4" t="str">
        <f aca="false">IFERROR(__xludf.dummyfunction("""COMPUTED_VALUE"""),"minor::changes::required::for::submitting")</f>
        <v>minor::changes::required::for::submitting</v>
      </c>
      <c r="G90" s="4" t="str">
        <f aca="false">IFERROR(__xludf.dummyfunction("""COMPUTED_VALUE"""),"approval::for::submitting::granted::(non::final)::core::rev6")</f>
        <v>approval::for::submitting::granted::(non::final)::core::rev6</v>
      </c>
      <c r="H90" s="4" t="str">
        <f aca="false">IFERROR(__xludf.dummyfunction("""COMPUTED_VALUE"""),"discussing::suggestion::refactoring::(change::input::parameter)")</f>
        <v>discussing::suggestion::refactoring::(change::input::parameter)</v>
      </c>
    </row>
    <row r="91" customFormat="false" ht="15.75" hidden="false" customHeight="false" outlineLevel="0" collapsed="false">
      <c r="A91" s="3" t="s">
        <v>1653</v>
      </c>
      <c r="B91" s="3" t="str">
        <f aca="false">IF(COUNTIF(Final_CB_R8_V5!$B$8:$B$20345,A91)&gt;=1,"YES","NO")</f>
        <v>YES</v>
      </c>
      <c r="C91" s="3" t="s">
        <v>1654</v>
      </c>
      <c r="D91" s="3" t="str">
        <f aca="false">IF(COUNTIF(Final_CB_R8_V5!$C$8:$C$2345,C91)&gt;=1,"YES","NO")</f>
        <v>YES</v>
      </c>
      <c r="F91" s="4" t="str">
        <f aca="false">IFERROR(__xludf.dummyfunction("""COMPUTED_VALUE"""),"minor::changes::required::for::submitting::(comments::added)")</f>
        <v>minor::changes::required::for::submitting::(comments::added)</v>
      </c>
      <c r="G91" s="4" t="str">
        <f aca="false">IFERROR(__xludf.dummyfunction("""COMPUTED_VALUE"""),"approval::for::submitting::granted::(non::final)::core::rev7")</f>
        <v>approval::for::submitting::granted::(non::final)::core::rev7</v>
      </c>
      <c r="H91" s="4" t="str">
        <f aca="false">IFERROR(__xludf.dummyfunction("""COMPUTED_VALUE"""),"discussing::suggestion::refactoring::(change::type::function)")</f>
        <v>discussing::suggestion::refactoring::(change::type::function)</v>
      </c>
    </row>
    <row r="92" customFormat="false" ht="15.75" hidden="false" customHeight="false" outlineLevel="0" collapsed="false">
      <c r="A92" s="3" t="s">
        <v>1655</v>
      </c>
      <c r="B92" s="3" t="str">
        <f aca="false">IF(COUNTIF(Final_CB_R8_V5!$B$8:$B$20345,A92)&gt;=1,"YES","NO")</f>
        <v>YES</v>
      </c>
      <c r="C92" s="3" t="s">
        <v>1656</v>
      </c>
      <c r="D92" s="3" t="str">
        <f aca="false">IF(COUNTIF(Final_CB_R8_V5!$C$8:$C$2345,C92)&gt;=1,"YES","NO")</f>
        <v>YES</v>
      </c>
      <c r="F92" s="4" t="str">
        <f aca="false">IFERROR(__xludf.dummyfunction("""COMPUTED_VALUE"""),"need::of::rebase")</f>
        <v>need::of::rebase</v>
      </c>
      <c r="G92" s="4" t="str">
        <f aca="false">IFERROR(__xludf.dummyfunction("""COMPUTED_VALUE"""),"approval::for::submitting::granted::(non::final)::core::rev8")</f>
        <v>approval::for::submitting::granted::(non::final)::core::rev8</v>
      </c>
      <c r="H92" s="4" t="str">
        <f aca="false">IFERROR(__xludf.dummyfunction("""COMPUTED_VALUE"""),"FFE::(feature::freeze::exception)::missed::deadline")</f>
        <v>FFE::(feature::freeze::exception)::missed::deadline</v>
      </c>
    </row>
    <row r="93" customFormat="false" ht="15.75" hidden="false" customHeight="false" outlineLevel="0" collapsed="false">
      <c r="A93" s="3" t="s">
        <v>1657</v>
      </c>
      <c r="B93" s="3" t="str">
        <f aca="false">IF(COUNTIF(Final_CB_R8_V5!$B$8:$B$20345,A93)&gt;=1,"YES","NO")</f>
        <v>YES</v>
      </c>
      <c r="C93" s="3" t="s">
        <v>1658</v>
      </c>
      <c r="D93" s="3" t="str">
        <f aca="false">IF(COUNTIF(Final_CB_R8_V5!$C$8:$C$2345,C93)&gt;=1,"YES","NO")</f>
        <v>YES</v>
      </c>
      <c r="F93" s="4" t="str">
        <f aca="false">IFERROR(__xludf.dummyfunction("""COMPUTED_VALUE"""),"not::approval::for::submitting10")</f>
        <v>not::approval::for::submitting10</v>
      </c>
      <c r="G93" s="4" t="str">
        <f aca="false">IFERROR(__xludf.dummyfunction("""COMPUTED_VALUE"""),"approval::for::submitting::granted::(non::final)::core::rev9")</f>
        <v>approval::for::submitting::granted::(non::final)::core::rev9</v>
      </c>
      <c r="H93" s="4" t="str">
        <f aca="false">IFERROR(__xludf.dummyfunction("""COMPUTED_VALUE"""),"FFE::(feature::freeze::exception)::request")</f>
        <v>FFE::(feature::freeze::exception)::request</v>
      </c>
    </row>
    <row r="94" customFormat="false" ht="15.75" hidden="false" customHeight="false" outlineLevel="0" collapsed="false">
      <c r="A94" s="3" t="s">
        <v>1659</v>
      </c>
      <c r="B94" s="3" t="str">
        <f aca="false">IF(COUNTIF(Final_CB_R8_V5!$B$8:$B$20345,A94)&gt;=1,"YES","NO")</f>
        <v>YES</v>
      </c>
      <c r="C94" s="3" t="s">
        <v>1660</v>
      </c>
      <c r="D94" s="3" t="str">
        <f aca="false">IF(COUNTIF(Final_CB_R8_V5!$C$8:$C$2345,C94)&gt;=1,"YES","NO")</f>
        <v>YES</v>
      </c>
      <c r="F94" s="4" t="str">
        <f aca="false">IFERROR(__xludf.dummyfunction("""COMPUTED_VALUE"""),"not::approval::for::submitting11")</f>
        <v>not::approval::for::submitting11</v>
      </c>
      <c r="G94" s="4" t="str">
        <f aca="false">IFERROR(__xludf.dummyfunction("""COMPUTED_VALUE"""),"approval::for::submitting::granted::(non::final)::core::rev::(vote1)")</f>
        <v>approval::for::submitting::granted::(non::final)::core::rev::(vote1)</v>
      </c>
      <c r="H94" s="4" t="str">
        <f aca="false">IFERROR(__xludf.dummyfunction("""COMPUTED_VALUE"""),"FFE::(feature::freeze::exception)::sponsorship")</f>
        <v>FFE::(feature::freeze::exception)::sponsorship</v>
      </c>
    </row>
    <row r="95" customFormat="false" ht="15.75" hidden="false" customHeight="false" outlineLevel="0" collapsed="false">
      <c r="A95" s="3" t="s">
        <v>1661</v>
      </c>
      <c r="B95" s="3" t="str">
        <f aca="false">IF(COUNTIF(Final_CB_R8_V5!$B$8:$B$20345,A95)&gt;=1,"YES","NO")</f>
        <v>YES</v>
      </c>
      <c r="C95" s="3" t="s">
        <v>1662</v>
      </c>
      <c r="D95" s="3" t="str">
        <f aca="false">IF(COUNTIF(Final_CB_R8_V5!$C$8:$C$2345,C95)&gt;=1,"YES","NO")</f>
        <v>YES</v>
      </c>
      <c r="F95" s="4" t="str">
        <f aca="false">IFERROR(__xludf.dummyfunction("""COMPUTED_VALUE"""),"not::approval::for::submitting12")</f>
        <v>not::approval::for::submitting12</v>
      </c>
      <c r="G95" s="4" t="str">
        <f aca="false">IFERROR(__xludf.dummyfunction("""COMPUTED_VALUE"""),"approval::for::submitting::granted::(non::final)::core::rev::(vote10)")</f>
        <v>approval::for::submitting::granted::(non::final)::core::rev::(vote10)</v>
      </c>
      <c r="H95" s="4" t="str">
        <f aca="false">IFERROR(__xludf.dummyfunction("""COMPUTED_VALUE"""),"ignoring::noticing::code::duplication")</f>
        <v>ignoring::noticing::code::duplication</v>
      </c>
    </row>
    <row r="96" customFormat="false" ht="15.75" hidden="false" customHeight="false" outlineLevel="0" collapsed="false">
      <c r="A96" s="3" t="s">
        <v>1663</v>
      </c>
      <c r="B96" s="3" t="str">
        <f aca="false">IF(COUNTIF(Final_CB_R8_V5!$B$8:$B$20345,A96)&gt;=1,"YES","NO")</f>
        <v>YES</v>
      </c>
      <c r="C96" s="3" t="s">
        <v>1664</v>
      </c>
      <c r="D96" s="3" t="str">
        <f aca="false">IF(COUNTIF(Final_CB_R8_V5!$C$8:$C$2345,C96)&gt;=1,"YES","NO")</f>
        <v>YES</v>
      </c>
      <c r="F96" s="4" t="str">
        <f aca="false">IFERROR(__xludf.dummyfunction("""COMPUTED_VALUE"""),"not::approval::for::submitting13")</f>
        <v>not::approval::for::submitting13</v>
      </c>
      <c r="G96" s="4" t="str">
        <f aca="false">IFERROR(__xludf.dummyfunction("""COMPUTED_VALUE"""),"approval::for::submitting::granted::(non::final)::core::rev::(vote12)")</f>
        <v>approval::for::submitting::granted::(non::final)::core::rev::(vote12)</v>
      </c>
      <c r="H96" s="4" t="str">
        <f aca="false">IFERROR(__xludf.dummyfunction("""COMPUTED_VALUE"""),"informing::adding::label")</f>
        <v>informing::adding::label</v>
      </c>
    </row>
    <row r="97" customFormat="false" ht="15.75" hidden="false" customHeight="false" outlineLevel="0" collapsed="false">
      <c r="A97" s="3" t="s">
        <v>1665</v>
      </c>
      <c r="B97" s="3" t="str">
        <f aca="false">IF(COUNTIF(Final_CB_R8_V5!$B$8:$B$20345,A97)&gt;=1,"YES","NO")</f>
        <v>YES</v>
      </c>
      <c r="C97" s="3" t="s">
        <v>1666</v>
      </c>
      <c r="D97" s="3" t="str">
        <f aca="false">IF(COUNTIF(Final_CB_R8_V5!$C$8:$C$2345,C97)&gt;=1,"YES","NO")</f>
        <v>YES</v>
      </c>
      <c r="F97" s="4" t="str">
        <f aca="false">IFERROR(__xludf.dummyfunction("""COMPUTED_VALUE"""),"not::approval::for::submitting14")</f>
        <v>not::approval::for::submitting14</v>
      </c>
      <c r="G97" s="4" t="str">
        <f aca="false">IFERROR(__xludf.dummyfunction("""COMPUTED_VALUE"""),"approval::for::submitting::granted::(non::final)::core::rev::(vote2)")</f>
        <v>approval::for::submitting::granted::(non::final)::core::rev::(vote2)</v>
      </c>
      <c r="H97" s="4" t="str">
        <f aca="false">IFERROR(__xludf.dummyfunction("""COMPUTED_VALUE"""),"informing::blocking::change::(vote::codereview-2)::(core::reviewer)")</f>
        <v>informing::blocking::change::(vote::codereview-2)::(core::reviewer)</v>
      </c>
    </row>
    <row r="98" customFormat="false" ht="15.75" hidden="false" customHeight="false" outlineLevel="0" collapsed="false">
      <c r="A98" s="3" t="s">
        <v>1667</v>
      </c>
      <c r="B98" s="3" t="str">
        <f aca="false">IF(COUNTIF(Final_CB_R8_V5!$B$8:$B$20345,A98)&gt;=1,"YES","NO")</f>
        <v>YES</v>
      </c>
      <c r="C98" s="3" t="s">
        <v>1668</v>
      </c>
      <c r="D98" s="3" t="str">
        <f aca="false">IF(COUNTIF(Final_CB_R8_V5!$C$8:$C$2345,C98)&gt;=1,"YES","NO")</f>
        <v>YES</v>
      </c>
      <c r="F98" s="4" t="str">
        <f aca="false">IFERROR(__xludf.dummyfunction("""COMPUTED_VALUE"""),"not::approval::for::submitting15")</f>
        <v>not::approval::for::submitting15</v>
      </c>
      <c r="G98" s="4" t="str">
        <f aca="false">IFERROR(__xludf.dummyfunction("""COMPUTED_VALUE"""),"approval::for::submitting::granted::(non::final)::core::rev::(vote3)")</f>
        <v>approval::for::submitting::granted::(non::final)::core::rev::(vote3)</v>
      </c>
      <c r="H98" s="4" t="str">
        <f aca="false">IFERROR(__xludf.dummyfunction("""COMPUTED_VALUE"""),"informing::BP::approved")</f>
        <v>informing::BP::approved</v>
      </c>
    </row>
    <row r="99" customFormat="false" ht="15.75" hidden="false" customHeight="false" outlineLevel="0" collapsed="false">
      <c r="A99" s="3" t="s">
        <v>1669</v>
      </c>
      <c r="B99" s="3" t="str">
        <f aca="false">IF(COUNTIF(Final_CB_R8_V5!$B$8:$B$20345,A99)&gt;=1,"YES","NO")</f>
        <v>YES</v>
      </c>
      <c r="C99" s="3" t="s">
        <v>1670</v>
      </c>
      <c r="D99" s="3" t="str">
        <f aca="false">IF(COUNTIF(Final_CB_R8_V5!$C$8:$C$2345,C99)&gt;=1,"YES","NO")</f>
        <v>YES</v>
      </c>
      <c r="F99" s="4" t="str">
        <f aca="false">IFERROR(__xludf.dummyfunction("""COMPUTED_VALUE"""),"not::approval::for::submitting16")</f>
        <v>not::approval::for::submitting16</v>
      </c>
      <c r="G99" s="4" t="str">
        <f aca="false">IFERROR(__xludf.dummyfunction("""COMPUTED_VALUE"""),"approval::for::submitting::granted::(non::final)::core::rev::(vote4)")</f>
        <v>approval::for::submitting::granted::(non::final)::core::rev::(vote4)</v>
      </c>
      <c r="H99" s="4" t="str">
        <f aca="false">IFERROR(__xludf.dummyfunction("""COMPUTED_VALUE"""),"informing::broken::functionallity::after::submitting::changes")</f>
        <v>informing::broken::functionallity::after::submitting::changes</v>
      </c>
    </row>
    <row r="100" customFormat="false" ht="15.75" hidden="false" customHeight="false" outlineLevel="0" collapsed="false">
      <c r="A100" s="3" t="s">
        <v>1671</v>
      </c>
      <c r="B100" s="3" t="str">
        <f aca="false">IF(COUNTIF(Final_CB_R8_V5!$B$8:$B$20345,A100)&gt;=1,"YES","NO")</f>
        <v>YES</v>
      </c>
      <c r="C100" s="3" t="s">
        <v>1672</v>
      </c>
      <c r="D100" s="3" t="str">
        <f aca="false">IF(COUNTIF(Final_CB_R8_V5!$C$8:$C$2345,C100)&gt;=1,"YES","NO")</f>
        <v>YES</v>
      </c>
      <c r="F100" s="4" t="str">
        <f aca="false">IFERROR(__xludf.dummyfunction("""COMPUTED_VALUE"""),"not::approval::for::submitting17")</f>
        <v>not::approval::for::submitting17</v>
      </c>
      <c r="G100" s="4" t="str">
        <f aca="false">IFERROR(__xludf.dummyfunction("""COMPUTED_VALUE"""),"approval::for::submitting::granted::(non::final)::core::rev::(vote5)")</f>
        <v>approval::for::submitting::granted::(non::final)::core::rev::(vote5)</v>
      </c>
      <c r="H100" s="4" t="str">
        <f aca="false">IFERROR(__xludf.dummyfunction("""COMPUTED_VALUE"""),"informing::change::commit")</f>
        <v>informing::change::commit</v>
      </c>
    </row>
    <row r="101" customFormat="false" ht="15.75" hidden="false" customHeight="false" outlineLevel="0" collapsed="false">
      <c r="A101" s="3" t="s">
        <v>1673</v>
      </c>
      <c r="B101" s="3" t="str">
        <f aca="false">IF(COUNTIF(Final_CB_R8_V5!$B$8:$B$20345,A101)&gt;=1,"YES","NO")</f>
        <v>YES</v>
      </c>
      <c r="C101" s="3" t="s">
        <v>1674</v>
      </c>
      <c r="D101" s="3" t="str">
        <f aca="false">IF(COUNTIF(Final_CB_R8_V5!$C$8:$C$2345,C101)&gt;=1,"YES","NO")</f>
        <v>YES</v>
      </c>
      <c r="F101" s="4" t="str">
        <f aca="false">IFERROR(__xludf.dummyfunction("""COMPUTED_VALUE"""),"not::approval::for::submitting18")</f>
        <v>not::approval::for::submitting18</v>
      </c>
      <c r="G101" s="4" t="str">
        <f aca="false">IFERROR(__xludf.dummyfunction("""COMPUTED_VALUE"""),"approval::for::submitting::granted::(non::final)::core::rev::(vote6)")</f>
        <v>approval::for::submitting::granted::(non::final)::core::rev::(vote6)</v>
      </c>
      <c r="H101" s="4" t="str">
        <f aca="false">IFERROR(__xludf.dummyfunction("""COMPUTED_VALUE"""),"informing::change::implemented")</f>
        <v>informing::change::implemented</v>
      </c>
    </row>
    <row r="102" customFormat="false" ht="15.75" hidden="false" customHeight="false" outlineLevel="0" collapsed="false">
      <c r="A102" s="3" t="s">
        <v>1675</v>
      </c>
      <c r="B102" s="3" t="str">
        <f aca="false">IF(COUNTIF(Final_CB_R8_V5!$B$8:$B$20345,A102)&gt;=1,"YES","NO")</f>
        <v>YES</v>
      </c>
      <c r="C102" s="3" t="s">
        <v>1676</v>
      </c>
      <c r="D102" s="3" t="str">
        <f aca="false">IF(COUNTIF(Final_CB_R8_V5!$C$8:$C$2345,C102)&gt;=1,"YES","NO")</f>
        <v>YES</v>
      </c>
      <c r="F102" s="4" t="str">
        <f aca="false">IFERROR(__xludf.dummyfunction("""COMPUTED_VALUE"""),"not::approval::for::submitting19")</f>
        <v>not::approval::for::submitting19</v>
      </c>
      <c r="G102" s="4" t="str">
        <f aca="false">IFERROR(__xludf.dummyfunction("""COMPUTED_VALUE"""),"approval::for::submitting::granted::(non::final)::core::rev::(vote7)")</f>
        <v>approval::for::submitting::granted::(non::final)::core::rev::(vote7)</v>
      </c>
      <c r="H102" s="4" t="str">
        <f aca="false">IFERROR(__xludf.dummyfunction("""COMPUTED_VALUE"""),"informing::change::implemented::(no::inline::message)")</f>
        <v>informing::change::implemented::(no::inline::message)</v>
      </c>
    </row>
    <row r="103" customFormat="false" ht="15.75" hidden="false" customHeight="false" outlineLevel="0" collapsed="false">
      <c r="A103" s="3" t="s">
        <v>1677</v>
      </c>
      <c r="B103" s="3" t="str">
        <f aca="false">IF(COUNTIF(Final_CB_R8_V5!$B$8:$B$20345,A103)&gt;=1,"YES","NO")</f>
        <v>YES</v>
      </c>
      <c r="C103" s="3" t="s">
        <v>1678</v>
      </c>
      <c r="D103" s="3" t="str">
        <f aca="false">IF(COUNTIF(Final_CB_R8_V5!$C$8:$C$2345,C103)&gt;=1,"YES","NO")</f>
        <v>YES</v>
      </c>
      <c r="F103" s="4" t="str">
        <f aca="false">IFERROR(__xludf.dummyfunction("""COMPUTED_VALUE"""),"not::approval::for::submitting2")</f>
        <v>not::approval::for::submitting2</v>
      </c>
      <c r="G103" s="4" t="str">
        <f aca="false">IFERROR(__xludf.dummyfunction("""COMPUTED_VALUE"""),"approval::for::submitting::granted::(non::final)::core::rev::(vote8)")</f>
        <v>approval::for::submitting::granted::(non::final)::core::rev::(vote8)</v>
      </c>
      <c r="H103" s="4" t="str">
        <f aca="false">IFERROR(__xludf.dummyfunction("""COMPUTED_VALUE"""),"informing::code::pushed")</f>
        <v>informing::code::pushed</v>
      </c>
    </row>
    <row r="104" customFormat="false" ht="15.75" hidden="false" customHeight="false" outlineLevel="0" collapsed="false">
      <c r="A104" s="3" t="s">
        <v>1679</v>
      </c>
      <c r="B104" s="3" t="str">
        <f aca="false">IF(COUNTIF(Final_CB_R8_V5!$B$8:$B$20345,A104)&gt;=1,"YES","NO")</f>
        <v>YES</v>
      </c>
      <c r="C104" s="3" t="s">
        <v>1680</v>
      </c>
      <c r="D104" s="3" t="str">
        <f aca="false">IF(COUNTIF(Final_CB_R8_V5!$C$8:$C$2345,C104)&gt;=1,"YES","NO")</f>
        <v>YES</v>
      </c>
      <c r="F104" s="4" t="str">
        <f aca="false">IFERROR(__xludf.dummyfunction("""COMPUTED_VALUE"""),"not::approval::for::submitting20")</f>
        <v>not::approval::for::submitting20</v>
      </c>
      <c r="G104" s="4" t="str">
        <f aca="false">IFERROR(__xludf.dummyfunction("""COMPUTED_VALUE"""),"approval::for::submitting::granted::(non::final)::core::rev::(vote9)")</f>
        <v>approval::for::submitting::granted::(non::final)::core::rev::(vote9)</v>
      </c>
      <c r="H104" s="4" t="str">
        <f aca="false">IFERROR(__xludf.dummyfunction("""COMPUTED_VALUE"""),"informing::comment::given::outside::PR")</f>
        <v>informing::comment::given::outside::PR</v>
      </c>
    </row>
    <row r="105" customFormat="false" ht="15.75" hidden="false" customHeight="false" outlineLevel="0" collapsed="false">
      <c r="A105" s="3" t="s">
        <v>1681</v>
      </c>
      <c r="B105" s="3" t="str">
        <f aca="false">IF(COUNTIF(Final_CB_R8_V5!$B$8:$B$20345,A105)&gt;=1,"YES","NO")</f>
        <v>YES</v>
      </c>
      <c r="C105" s="3" t="s">
        <v>1682</v>
      </c>
      <c r="D105" s="3" t="str">
        <f aca="false">IF(COUNTIF(Final_CB_R8_V5!$C$8:$C$2345,C105)&gt;=1,"YES","NO")</f>
        <v>YES</v>
      </c>
      <c r="F105" s="4" t="str">
        <f aca="false">IFERROR(__xludf.dummyfunction("""COMPUTED_VALUE"""),"not::approval::for::submitting21")</f>
        <v>not::approval::for::submitting21</v>
      </c>
      <c r="G105" s="4" t="str">
        <f aca="false">IFERROR(__xludf.dummyfunction("""COMPUTED_VALUE"""),"approval::for::workflow1")</f>
        <v>approval::for::workflow1</v>
      </c>
      <c r="H105" s="4" t="str">
        <f aca="false">IFERROR(__xludf.dummyfunction("""COMPUTED_VALUE"""),"informing::comments::added")</f>
        <v>informing::comments::added</v>
      </c>
    </row>
    <row r="106" customFormat="false" ht="15.75" hidden="false" customHeight="false" outlineLevel="0" collapsed="false">
      <c r="A106" s="3" t="s">
        <v>1683</v>
      </c>
      <c r="B106" s="3" t="str">
        <f aca="false">IF(COUNTIF(Final_CB_R8_V5!$B$8:$B$20345,A106)&gt;=1,"YES","NO")</f>
        <v>YES</v>
      </c>
      <c r="C106" s="3" t="s">
        <v>1684</v>
      </c>
      <c r="D106" s="3" t="str">
        <f aca="false">IF(COUNTIF(Final_CB_R8_V5!$C$8:$C$2345,C106)&gt;=1,"YES","NO")</f>
        <v>YES</v>
      </c>
      <c r="F106" s="4" t="str">
        <f aca="false">IFERROR(__xludf.dummyfunction("""COMPUTED_VALUE"""),"not::approval::for::submitting22")</f>
        <v>not::approval::for::submitting22</v>
      </c>
      <c r="G106" s="4" t="str">
        <f aca="false">IFERROR(__xludf.dummyfunction("""COMPUTED_VALUE"""),"approval::for::workflow::(final)::(vote1)")</f>
        <v>approval::for::workflow::(final)::(vote1)</v>
      </c>
      <c r="H106" s="4" t="str">
        <f aca="false">IFERROR(__xludf.dummyfunction("""COMPUTED_VALUE"""),"informing::comments::not::fully::addressed")</f>
        <v>informing::comments::not::fully::addressed</v>
      </c>
    </row>
    <row r="107" customFormat="false" ht="15.75" hidden="false" customHeight="false" outlineLevel="0" collapsed="false">
      <c r="A107" s="3" t="s">
        <v>1685</v>
      </c>
      <c r="B107" s="3" t="str">
        <f aca="false">IF(COUNTIF(Final_CB_R8_V5!$B$8:$B$20345,A107)&gt;=1,"YES","NO")</f>
        <v>YES</v>
      </c>
      <c r="C107" s="3" t="s">
        <v>1686</v>
      </c>
      <c r="D107" s="3" t="str">
        <f aca="false">IF(COUNTIF(Final_CB_R8_V5!$C$8:$C$2345,C107)&gt;=1,"YES","NO")</f>
        <v>YES</v>
      </c>
      <c r="F107" s="4" t="str">
        <f aca="false">IFERROR(__xludf.dummyfunction("""COMPUTED_VALUE"""),"not::approval::for::submitting23")</f>
        <v>not::approval::for::submitting23</v>
      </c>
      <c r="G107" s="4" t="str">
        <f aca="false">IFERROR(__xludf.dummyfunction("""COMPUTED_VALUE"""),"approval::for::workflow::(final)::(vote2)")</f>
        <v>approval::for::workflow::(final)::(vote2)</v>
      </c>
      <c r="H107" s="4" t="str">
        <f aca="false">IFERROR(__xludf.dummyfunction("""COMPUTED_VALUE"""),"informing::comments::not::fully::addressed::(reasons)")</f>
        <v>informing::comments::not::fully::addressed::(reasons)</v>
      </c>
    </row>
    <row r="108" customFormat="false" ht="15.75" hidden="false" customHeight="false" outlineLevel="0" collapsed="false">
      <c r="A108" s="3" t="s">
        <v>1687</v>
      </c>
      <c r="B108" s="3" t="str">
        <f aca="false">IF(COUNTIF(Final_CB_R8_V5!$B$8:$B$20345,A108)&gt;=1,"YES","NO")</f>
        <v>YES</v>
      </c>
      <c r="C108" s="3" t="s">
        <v>1688</v>
      </c>
      <c r="D108" s="3" t="str">
        <f aca="false">IF(COUNTIF(Final_CB_R8_V5!$C$8:$C$2345,C108)&gt;=1,"YES","NO")</f>
        <v>YES</v>
      </c>
      <c r="F108" s="4" t="str">
        <f aca="false">IFERROR(__xludf.dummyfunction("""COMPUTED_VALUE"""),"not::approval::for::submitting24")</f>
        <v>not::approval::for::submitting24</v>
      </c>
      <c r="G108" s="4" t="str">
        <f aca="false">IFERROR(__xludf.dummyfunction("""COMPUTED_VALUE"""),"approval::for::workflow::(final)::(vote3)")</f>
        <v>approval::for::workflow::(final)::(vote3)</v>
      </c>
      <c r="H108" s="4" t="str">
        <f aca="false">IFERROR(__xludf.dummyfunction("""COMPUTED_VALUE"""),"informing::conflicts::with::existing::dependency::(another::project)::of::the::change::(egg::and::chicken)")</f>
        <v>informing::conflicts::with::existing::dependency::(another::project)::of::the::change::(egg::and::chicken)</v>
      </c>
    </row>
    <row r="109" customFormat="false" ht="15.75" hidden="false" customHeight="false" outlineLevel="0" collapsed="false">
      <c r="A109" s="3" t="s">
        <v>1689</v>
      </c>
      <c r="B109" s="3" t="str">
        <f aca="false">IF(COUNTIF(Final_CB_R8_V5!$B$8:$B$20345,A109)&gt;=1,"YES","NO")</f>
        <v>YES</v>
      </c>
      <c r="C109" s="3" t="s">
        <v>1690</v>
      </c>
      <c r="D109" s="3" t="str">
        <f aca="false">IF(COUNTIF(Final_CB_R8_V5!$C$8:$C$2345,C109)&gt;=1,"YES","NO")</f>
        <v>YES</v>
      </c>
      <c r="F109" s="4" t="str">
        <f aca="false">IFERROR(__xludf.dummyfunction("""COMPUTED_VALUE"""),"not::approval::for::submitting25")</f>
        <v>not::approval::for::submitting25</v>
      </c>
      <c r="G109" s="4" t="str">
        <f aca="false">IFERROR(__xludf.dummyfunction("""COMPUTED_VALUE"""),"approval::for::workflow::(non::final)::(vote1)")</f>
        <v>approval::for::workflow::(non::final)::(vote1)</v>
      </c>
      <c r="H109" s="4" t="str">
        <f aca="false">IFERROR(__xludf.dummyfunction("""COMPUTED_VALUE"""),"informing::developing::status::(of::patches)")</f>
        <v>informing::developing::status::(of::patches)</v>
      </c>
    </row>
    <row r="110" customFormat="false" ht="15.75" hidden="false" customHeight="false" outlineLevel="0" collapsed="false">
      <c r="A110" s="3" t="s">
        <v>1691</v>
      </c>
      <c r="B110" s="3" t="str">
        <f aca="false">IF(COUNTIF(Final_CB_R8_V5!$B$8:$B$20345,A110)&gt;=1,"YES","NO")</f>
        <v>YES</v>
      </c>
      <c r="C110" s="3" t="s">
        <v>1692</v>
      </c>
      <c r="D110" s="3" t="str">
        <f aca="false">IF(COUNTIF(Final_CB_R8_V5!$C$8:$C$2345,C110)&gt;=1,"YES","NO")</f>
        <v>YES</v>
      </c>
      <c r="F110" s="4" t="str">
        <f aca="false">IFERROR(__xludf.dummyfunction("""COMPUTED_VALUE"""),"not::approval::for::submitting26")</f>
        <v>not::approval::for::submitting26</v>
      </c>
      <c r="G110" s="4" t="str">
        <f aca="false">IFERROR(__xludf.dummyfunction("""COMPUTED_VALUE"""),"approval::for::workflow::(non::final)::(vote2)")</f>
        <v>approval::for::workflow::(non::final)::(vote2)</v>
      </c>
      <c r="H110" s="4" t="str">
        <f aca="false">IFERROR(__xludf.dummyfunction("""COMPUTED_VALUE"""),"informing::error::unit::test")</f>
        <v>informing::error::unit::test</v>
      </c>
    </row>
    <row r="111" customFormat="false" ht="15.75" hidden="false" customHeight="false" outlineLevel="0" collapsed="false">
      <c r="A111" s="3" t="s">
        <v>1693</v>
      </c>
      <c r="B111" s="3" t="str">
        <f aca="false">IF(COUNTIF(Final_CB_R8_V5!$B$8:$B$20345,A111)&gt;=1,"YES","NO")</f>
        <v>YES</v>
      </c>
      <c r="C111" s="3" t="s">
        <v>1694</v>
      </c>
      <c r="D111" s="3" t="str">
        <f aca="false">IF(COUNTIF(Final_CB_R8_V5!$C$8:$C$2345,C111)&gt;=1,"YES","NO")</f>
        <v>YES</v>
      </c>
      <c r="F111" s="4" t="str">
        <f aca="false">IFERROR(__xludf.dummyfunction("""COMPUTED_VALUE"""),"not::approval::for::submitting27")</f>
        <v>not::approval::for::submitting27</v>
      </c>
      <c r="G111" s="4" t="str">
        <f aca="false">IFERROR(__xludf.dummyfunction("""COMPUTED_VALUE"""),"approval::for::workflow::(non::final)::(vote3)")</f>
        <v>approval::for::workflow::(non::final)::(vote3)</v>
      </c>
      <c r="H111" s="4" t="str">
        <f aca="false">IFERROR(__xludf.dummyfunction("""COMPUTED_VALUE"""),"informing::error::unit::test::(where:.and::when)")</f>
        <v>informing::error::unit::test::(where:.and::when)</v>
      </c>
    </row>
    <row r="112" customFormat="false" ht="15.75" hidden="false" customHeight="false" outlineLevel="0" collapsed="false">
      <c r="A112" s="3" t="s">
        <v>1695</v>
      </c>
      <c r="B112" s="3" t="str">
        <f aca="false">IF(COUNTIF(Final_CB_R8_V5!$B$8:$B$20345,A112)&gt;=1,"YES","NO")</f>
        <v>YES</v>
      </c>
      <c r="C112" s="3" t="s">
        <v>1696</v>
      </c>
      <c r="D112" s="3" t="str">
        <f aca="false">IF(COUNTIF(Final_CB_R8_V5!$C$8:$C$2345,C112)&gt;=1,"YES","NO")</f>
        <v>YES</v>
      </c>
      <c r="F112" s="4" t="str">
        <f aca="false">IFERROR(__xludf.dummyfunction("""COMPUTED_VALUE"""),"not::approval::for::submitting3")</f>
        <v>not::approval::for::submitting3</v>
      </c>
      <c r="G112" s="4" t="str">
        <f aca="false">IFERROR(__xludf.dummyfunction("""COMPUTED_VALUE"""),"approval::for::workflow::(non::final)::(vote4)")</f>
        <v>approval::for::workflow::(non::final)::(vote4)</v>
      </c>
      <c r="H112" s="4" t="str">
        <f aca="false">IFERROR(__xludf.dummyfunction("""COMPUTED_VALUE"""),"informing::existing::dependencies::(commit::message)")</f>
        <v>informing::existing::dependencies::(commit::message)</v>
      </c>
    </row>
    <row r="113" customFormat="false" ht="15.75" hidden="false" customHeight="false" outlineLevel="0" collapsed="false">
      <c r="A113" s="3" t="s">
        <v>1533</v>
      </c>
      <c r="B113" s="3" t="str">
        <f aca="false">IF(COUNTIF(Final_CB_R8_V5!$B$8:$B$20345,A113)&gt;=1,"YES","NO")</f>
        <v>YES</v>
      </c>
      <c r="C113" s="3" t="s">
        <v>1697</v>
      </c>
      <c r="D113" s="3" t="str">
        <f aca="false">IF(COUNTIF(Final_CB_R8_V5!$C$8:$C$2345,C113)&gt;=1,"YES","NO")</f>
        <v>YES</v>
      </c>
      <c r="F113" s="4" t="str">
        <f aca="false">IFERROR(__xludf.dummyfunction("""COMPUTED_VALUE"""),"not::approval::for::submitting4")</f>
        <v>not::approval::for::submitting4</v>
      </c>
      <c r="G113" s="4" t="str">
        <f aca="false">IFERROR(__xludf.dummyfunction("""COMPUTED_VALUE"""),"approval::for::workflow::(non::final)::(vote5)")</f>
        <v>approval::for::workflow::(non::final)::(vote5)</v>
      </c>
      <c r="H113" s="4" t="str">
        <f aca="false">IFERROR(__xludf.dummyfunction("""COMPUTED_VALUE"""),"informing::existing::dependency::(another::project)::of::the::change")</f>
        <v>informing::existing::dependency::(another::project)::of::the::change</v>
      </c>
    </row>
    <row r="114" customFormat="false" ht="15.75" hidden="false" customHeight="false" outlineLevel="0" collapsed="false">
      <c r="A114" s="3" t="s">
        <v>1698</v>
      </c>
      <c r="B114" s="3" t="str">
        <f aca="false">IF(COUNTIF(Final_CB_R8_V5!$B$8:$B$20345,A114)&gt;=1,"YES","NO")</f>
        <v>YES</v>
      </c>
      <c r="C114" s="3" t="s">
        <v>1699</v>
      </c>
      <c r="D114" s="3" t="str">
        <f aca="false">IF(COUNTIF(Final_CB_R8_V5!$C$8:$C$2345,C114)&gt;=1,"YES","NO")</f>
        <v>YES</v>
      </c>
      <c r="F114" s="4" t="str">
        <f aca="false">IFERROR(__xludf.dummyfunction("""COMPUTED_VALUE"""),"not::approval::for::submitting5")</f>
        <v>not::approval::for::submitting5</v>
      </c>
      <c r="G114" s="4" t="str">
        <f aca="false">IFERROR(__xludf.dummyfunction("""COMPUTED_VALUE"""),"asking::about::waiting::for::patch::(other::review)")</f>
        <v>asking::about::waiting::for::patch::(other::review)</v>
      </c>
      <c r="H114" s="4" t="str">
        <f aca="false">IFERROR(__xludf.dummyfunction("""COMPUTED_VALUE"""),"informing::existing::dependency::(another::review)::of::the::change")</f>
        <v>informing::existing::dependency::(another::review)::of::the::change</v>
      </c>
    </row>
    <row r="115" customFormat="false" ht="15.75" hidden="false" customHeight="false" outlineLevel="0" collapsed="false">
      <c r="A115" s="3" t="s">
        <v>1700</v>
      </c>
      <c r="B115" s="3" t="str">
        <f aca="false">IF(COUNTIF(Final_CB_R8_V5!$B$8:$B$20345,A115)&gt;=1,"YES","NO")</f>
        <v>YES</v>
      </c>
      <c r="C115" s="3" t="s">
        <v>1701</v>
      </c>
      <c r="D115" s="3" t="str">
        <f aca="false">IF(COUNTIF(Final_CB_R8_V5!$C$8:$C$2345,C115)&gt;=1,"YES","NO")</f>
        <v>YES</v>
      </c>
      <c r="F115" s="4" t="str">
        <f aca="false">IFERROR(__xludf.dummyfunction("""COMPUTED_VALUE"""),"not::approval::for::submitting6")</f>
        <v>not::approval::for::submitting6</v>
      </c>
      <c r="G115" s="4" t="str">
        <f aca="false">IFERROR(__xludf.dummyfunction("""COMPUTED_VALUE"""),"asking::advice::about::error")</f>
        <v>asking::advice::about::error</v>
      </c>
      <c r="H115" s="4" t="str">
        <f aca="false">IFERROR(__xludf.dummyfunction("""COMPUTED_VALUE"""),"informing::inconsistencies::found:.(format)")</f>
        <v>informing::inconsistencies::found:.(format)</v>
      </c>
    </row>
    <row r="116" customFormat="false" ht="15.75" hidden="false" customHeight="false" outlineLevel="0" collapsed="false">
      <c r="A116" s="3" t="s">
        <v>1702</v>
      </c>
      <c r="B116" s="3" t="str">
        <f aca="false">IF(COUNTIF(Final_CB_R8_V5!$B$8:$B$20345,A116)&gt;=1,"YES","NO")</f>
        <v>YES</v>
      </c>
      <c r="C116" s="3" t="s">
        <v>1703</v>
      </c>
      <c r="D116" s="3" t="str">
        <f aca="false">IF(COUNTIF(Final_CB_R8_V5!$C$8:$C$2345,C116)&gt;=1,"YES","NO")</f>
        <v>YES</v>
      </c>
      <c r="F116" s="4" t="str">
        <f aca="false">IFERROR(__xludf.dummyfunction("""COMPUTED_VALUE"""),"not::approval::for::submitting7")</f>
        <v>not::approval::for::submitting7</v>
      </c>
      <c r="G116" s="4" t="str">
        <f aca="false">IFERROR(__xludf.dummyfunction("""COMPUTED_VALUE"""),"asking::advice::best::practice::(logic)")</f>
        <v>asking::advice::best::practice::(logic)</v>
      </c>
      <c r="H116" s="4" t="str">
        <f aca="false">IFERROR(__xludf.dummyfunction("""COMPUTED_VALUE"""),"informing::integration::testing::(results)")</f>
        <v>informing::integration::testing::(results)</v>
      </c>
    </row>
    <row r="117" customFormat="false" ht="15.75" hidden="false" customHeight="false" outlineLevel="0" collapsed="false">
      <c r="A117" s="3" t="s">
        <v>1704</v>
      </c>
      <c r="B117" s="3" t="str">
        <f aca="false">IF(COUNTIF(Final_CB_R8_V5!$B$8:$B$20345,A117)&gt;=1,"YES","NO")</f>
        <v>YES</v>
      </c>
      <c r="C117" s="3" t="s">
        <v>1705</v>
      </c>
      <c r="D117" s="3" t="str">
        <f aca="false">IF(COUNTIF(Final_CB_R8_V5!$C$8:$C$2345,C117)&gt;=1,"YES","NO")</f>
        <v>YES</v>
      </c>
      <c r="F117" s="4" t="str">
        <f aca="false">IFERROR(__xludf.dummyfunction("""COMPUTED_VALUE"""),"not::approval::for::submitting8")</f>
        <v>not::approval::for::submitting8</v>
      </c>
      <c r="G117" s="4" t="str">
        <f aca="false">IFERROR(__xludf.dummyfunction("""COMPUTED_VALUE"""),"asking::advice::best::practice::(style)")</f>
        <v>asking::advice::best::practice::(style)</v>
      </c>
      <c r="H117" s="4" t="str">
        <f aca="false">IFERROR(__xludf.dummyfunction("""COMPUTED_VALUE"""),"informing::integration::testing::(to::be::executed)")</f>
        <v>informing::integration::testing::(to::be::executed)</v>
      </c>
    </row>
    <row r="118" customFormat="false" ht="15.75" hidden="false" customHeight="false" outlineLevel="0" collapsed="false">
      <c r="A118" s="3" t="s">
        <v>1706</v>
      </c>
      <c r="B118" s="3" t="str">
        <f aca="false">IF(COUNTIF(Final_CB_R8_V5!$B$8:$B$20345,A118)&gt;=1,"YES","NO")</f>
        <v>YES</v>
      </c>
      <c r="C118" s="3" t="s">
        <v>1707</v>
      </c>
      <c r="D118" s="3" t="str">
        <f aca="false">IF(COUNTIF(Final_CB_R8_V5!$C$8:$C$2345,C118)&gt;=1,"YES","NO")</f>
        <v>YES</v>
      </c>
      <c r="F118" s="4" t="str">
        <f aca="false">IFERROR(__xludf.dummyfunction("""COMPUTED_VALUE"""),"not::approval::for::submitting9")</f>
        <v>not::approval::for::submitting9</v>
      </c>
      <c r="G118" s="4" t="str">
        <f aca="false">IFERROR(__xludf.dummyfunction("""COMPUTED_VALUE"""),"asking::advice::best::practice::(versioning)")</f>
        <v>asking::advice::best::practice::(versioning)</v>
      </c>
      <c r="H118" s="4" t="str">
        <f aca="false">IFERROR(__xludf.dummyfunction("""COMPUTED_VALUE"""),"informing::left::comments")</f>
        <v>informing::left::comments</v>
      </c>
    </row>
    <row r="119" customFormat="false" ht="15.75" hidden="false" customHeight="false" outlineLevel="0" collapsed="false">
      <c r="A119" s="3" t="s">
        <v>1708</v>
      </c>
      <c r="B119" s="3" t="str">
        <f aca="false">IF(COUNTIF(Final_CB_R8_V5!$B$8:$B$20345,A119)&gt;=1,"YES","NO")</f>
        <v>YES</v>
      </c>
      <c r="C119" s="3" t="s">
        <v>1709</v>
      </c>
      <c r="D119" s="3" t="str">
        <f aca="false">IF(COUNTIF(Final_CB_R8_V5!$C$8:$C$2345,C119)&gt;=1,"YES","NO")</f>
        <v>YES</v>
      </c>
      <c r="F119" s="4" t="str">
        <f aca="false">IFERROR(__xludf.dummyfunction("""COMPUTED_VALUE"""),"not::approval::for::submitting::(vote2)")</f>
        <v>not::approval::for::submitting::(vote2)</v>
      </c>
      <c r="G119" s="4" t="str">
        <f aca="false">IFERROR(__xludf.dummyfunction("""COMPUTED_VALUE"""),"asking::advice::suggestion::change::(solution::design)")</f>
        <v>asking::advice::suggestion::change::(solution::design)</v>
      </c>
      <c r="H119" s="4" t="str">
        <f aca="false">IFERROR(__xludf.dummyfunction("""COMPUTED_VALUE"""),"informing::left::inline::comments")</f>
        <v>informing::left::inline::comments</v>
      </c>
    </row>
    <row r="120" customFormat="false" ht="15.75" hidden="false" customHeight="false" outlineLevel="0" collapsed="false">
      <c r="A120" s="3" t="s">
        <v>1710</v>
      </c>
      <c r="B120" s="3" t="str">
        <f aca="false">IF(COUNTIF(Final_CB_R8_V5!$B$8:$B$20345,A120)&gt;=1,"YES","NO")</f>
        <v>YES</v>
      </c>
      <c r="C120" s="3" t="s">
        <v>1711</v>
      </c>
      <c r="D120" s="3" t="str">
        <f aca="false">IF(COUNTIF(Final_CB_R8_V5!$C$8:$C$2345,C120)&gt;=1,"YES","NO")</f>
        <v>YES</v>
      </c>
      <c r="F120" s="4" t="str">
        <f aca="false">IFERROR(__xludf.dummyfunction("""COMPUTED_VALUE"""),"not::approval::for::submitting::(vote3)")</f>
        <v>not::approval::for::submitting::(vote3)</v>
      </c>
      <c r="G120" s="4" t="str">
        <f aca="false">IFERROR(__xludf.dummyfunction("""COMPUTED_VALUE"""),"asking::advice::suggestion::refactoring::(naming::function)")</f>
        <v>asking::advice::suggestion::refactoring::(naming::function)</v>
      </c>
      <c r="H120" s="4" t="str">
        <f aca="false">IFERROR(__xludf.dummyfunction("""COMPUTED_VALUE"""),"informing::lgtm")</f>
        <v>informing::lgtm</v>
      </c>
    </row>
    <row r="121" customFormat="false" ht="15.75" hidden="false" customHeight="false" outlineLevel="0" collapsed="false">
      <c r="A121" s="3" t="s">
        <v>1712</v>
      </c>
      <c r="B121" s="3" t="str">
        <f aca="false">IF(COUNTIF(Final_CB_R8_V5!$B$8:$B$20345,A121)&gt;=1,"YES","NO")</f>
        <v>YES</v>
      </c>
      <c r="C121" s="3" t="s">
        <v>1713</v>
      </c>
      <c r="D121" s="3" t="str">
        <f aca="false">IF(COUNTIF(Final_CB_R8_V5!$C$8:$C$2345,C121)&gt;=1,"YES","NO")</f>
        <v>YES</v>
      </c>
      <c r="F121" s="4" t="str">
        <f aca="false">IFERROR(__xludf.dummyfunction("""COMPUTED_VALUE"""),"not::approval::for::submitting::(vote4)")</f>
        <v>not::approval::for::submitting::(vote4)</v>
      </c>
      <c r="G121" s="4" t="str">
        <f aca="false">IFERROR(__xludf.dummyfunction("""COMPUTED_VALUE"""),"asking::clarification::(need::of::constant)")</f>
        <v>asking::clarification::(need::of::constant)</v>
      </c>
      <c r="H121" s="4" t="str">
        <f aca="false">IFERROR(__xludf.dummyfunction("""COMPUTED_VALUE"""),"informing::migration::clash")</f>
        <v>informing::migration::clash</v>
      </c>
    </row>
    <row r="122" customFormat="false" ht="15.75" hidden="false" customHeight="false" outlineLevel="0" collapsed="false">
      <c r="A122" s="3" t="s">
        <v>1714</v>
      </c>
      <c r="B122" s="3" t="str">
        <f aca="false">IF(COUNTIF(Final_CB_R8_V5!$B$8:$B$20345,A122)&gt;=1,"YES","NO")</f>
        <v>YES</v>
      </c>
      <c r="C122" s="3" t="s">
        <v>1715</v>
      </c>
      <c r="D122" s="3" t="str">
        <f aca="false">IF(COUNTIF(Final_CB_R8_V5!$C$8:$C$2345,C122)&gt;=1,"YES","NO")</f>
        <v>YES</v>
      </c>
      <c r="F122" s="4" t="str">
        <f aca="false">IFERROR(__xludf.dummyfunction("""COMPUTED_VALUE"""),"not::approval::for::submitting::(vote5)")</f>
        <v>not::approval::for::submitting::(vote5)</v>
      </c>
      <c r="G122" s="4" t="str">
        <f aca="false">IFERROR(__xludf.dummyfunction("""COMPUTED_VALUE"""),"asking::clarification::about::change")</f>
        <v>asking::clarification::about::change</v>
      </c>
      <c r="H122" s="4" t="str">
        <f aca="false">IFERROR(__xludf.dummyfunction("""COMPUTED_VALUE"""),"informing::multiple:.times::that::there::are::no::bugs::after::build::failures")</f>
        <v>informing::multiple:.times::that::there::are::no::bugs::after::build::failures</v>
      </c>
    </row>
    <row r="123" customFormat="false" ht="15.75" hidden="false" customHeight="false" outlineLevel="0" collapsed="false">
      <c r="A123" s="3" t="s">
        <v>1716</v>
      </c>
      <c r="B123" s="3" t="str">
        <f aca="false">IF(COUNTIF(Final_CB_R8_V5!$B$8:$B$20345,A123)&gt;=1,"YES","NO")</f>
        <v>YES</v>
      </c>
      <c r="C123" s="3" t="s">
        <v>1717</v>
      </c>
      <c r="D123" s="3" t="str">
        <f aca="false">IF(COUNTIF(Final_CB_R8_V5!$C$8:$C$2345,C123)&gt;=1,"YES","NO")</f>
        <v>YES</v>
      </c>
      <c r="F123" s="4" t="str">
        <f aca="false">IFERROR(__xludf.dummyfunction("""COMPUTED_VALUE"""),"not::approval::for::submitting::(vote6)")</f>
        <v>not::approval::for::submitting::(vote6)</v>
      </c>
      <c r="G123" s="4" t="str">
        <f aca="false">IFERROR(__xludf.dummyfunction("""COMPUTED_VALUE"""),"asking::clarification::about::change::(logic)")</f>
        <v>asking::clarification::about::change::(logic)</v>
      </c>
      <c r="H123" s="4" t="str">
        <f aca="false">IFERROR(__xludf.dummyfunction("""COMPUTED_VALUE"""),"informing::passed::error::unit::test")</f>
        <v>informing::passed::error::unit::test</v>
      </c>
    </row>
    <row r="124" customFormat="false" ht="15.75" hidden="false" customHeight="false" outlineLevel="0" collapsed="false">
      <c r="A124" s="3" t="s">
        <v>1718</v>
      </c>
      <c r="B124" s="3" t="str">
        <f aca="false">IF(COUNTIF(Final_CB_R8_V5!$B$8:$B$20345,A124)&gt;=1,"YES","NO")</f>
        <v>YES</v>
      </c>
      <c r="C124" s="3" t="s">
        <v>1719</v>
      </c>
      <c r="D124" s="3" t="str">
        <f aca="false">IF(COUNTIF(Final_CB_R8_V5!$C$8:$C$2345,C124)&gt;=1,"YES","NO")</f>
        <v>YES</v>
      </c>
      <c r="F124" s="4" t="str">
        <f aca="false">IFERROR(__xludf.dummyfunction("""COMPUTED_VALUE"""),"not::approval::for::submitting::(vote7)")</f>
        <v>not::approval::for::submitting::(vote7)</v>
      </c>
      <c r="G124" s="4" t="str">
        <f aca="false">IFERROR(__xludf.dummyfunction("""COMPUTED_VALUE"""),"asking::clarification::about::code::(logging)")</f>
        <v>asking::clarification::about::code::(logging)</v>
      </c>
      <c r="H124" s="4" t="str">
        <f aca="false">IFERROR(__xludf.dummyfunction("""COMPUTED_VALUE"""),"informing::reason::error::unit::test")</f>
        <v>informing::reason::error::unit::test</v>
      </c>
    </row>
    <row r="125" customFormat="false" ht="15.75" hidden="false" customHeight="false" outlineLevel="0" collapsed="false">
      <c r="A125" s="3" t="s">
        <v>1720</v>
      </c>
      <c r="B125" s="3" t="str">
        <f aca="false">IF(COUNTIF(Final_CB_R8_V5!$B$8:$B$20345,A125)&gt;=1,"YES","NO")</f>
        <v>YES</v>
      </c>
      <c r="C125" s="3" t="s">
        <v>1721</v>
      </c>
      <c r="D125" s="3" t="str">
        <f aca="false">IF(COUNTIF(Final_CB_R8_V5!$C$8:$C$2345,C125)&gt;=1,"YES","NO")</f>
        <v>YES</v>
      </c>
      <c r="F125" s="4" t="str">
        <f aca="false">IFERROR(__xludf.dummyfunction("""COMPUTED_VALUE"""),"not::approval::for::submitting::(vote8)")</f>
        <v>not::approval::for::submitting::(vote8)</v>
      </c>
      <c r="G125" s="4" t="str">
        <f aca="false">IFERROR(__xludf.dummyfunction("""COMPUTED_VALUE"""),"asking::clarification::about::code::(migration)")</f>
        <v>asking::clarification::about::code::(migration)</v>
      </c>
      <c r="H125" s="4" t="str">
        <f aca="false">IFERROR(__xludf.dummyfunction("""COMPUTED_VALUE"""),"informing::reason::failure::(context:.related::(where::it::runs)::)")</f>
        <v>informing::reason::failure::(context:.related::(where::it::runs)::)</v>
      </c>
    </row>
    <row r="126" customFormat="false" ht="15.75" hidden="false" customHeight="false" outlineLevel="0" collapsed="false">
      <c r="A126" s="3" t="s">
        <v>1722</v>
      </c>
      <c r="B126" s="3" t="str">
        <f aca="false">IF(COUNTIF(Final_CB_R8_V5!$B$8:$B$20345,A126)&gt;=1,"YES","NO")</f>
        <v>YES</v>
      </c>
      <c r="C126" s="3" t="s">
        <v>411</v>
      </c>
      <c r="D126" s="3" t="str">
        <f aca="false">IF(COUNTIF(Final_CB_R8_V5!$C$8:$C$2345,C126)&gt;=1,"YES","NO")</f>
        <v>YES</v>
      </c>
      <c r="F126" s="4" t="str">
        <f aca="false">IFERROR(__xludf.dummyfunction("""COMPUTED_VALUE"""),"not::approval::for::submitting::(vote9)")</f>
        <v>not::approval::for::submitting::(vote9)</v>
      </c>
      <c r="G126" s="4" t="str">
        <f aca="false">IFERROR(__xludf.dummyfunction("""COMPUTED_VALUE"""),"asking::clarification::about::code::(naming)")</f>
        <v>asking::clarification::about::code::(naming)</v>
      </c>
      <c r="H126" s="4" t="str">
        <f aca="false">IFERROR(__xludf.dummyfunction("""COMPUTED_VALUE"""),"informing::recheck::(migrations)::after::build::failures")</f>
        <v>informing::recheck::(migrations)::after::build::failures</v>
      </c>
    </row>
    <row r="127" customFormat="false" ht="15.75" hidden="false" customHeight="false" outlineLevel="0" collapsed="false">
      <c r="A127" s="3" t="s">
        <v>1723</v>
      </c>
      <c r="B127" s="3" t="str">
        <f aca="false">IF(COUNTIF(Final_CB_R8_V5!$B$8:$B$20345,A127)&gt;=1,"YES","NO")</f>
        <v>YES</v>
      </c>
      <c r="C127" s="3" t="s">
        <v>1724</v>
      </c>
      <c r="D127" s="3" t="str">
        <f aca="false">IF(COUNTIF(Final_CB_R8_V5!$C$8:$C$2345,C127)&gt;=1,"YES","NO")</f>
        <v>YES</v>
      </c>
      <c r="F127" s="4" t="str">
        <f aca="false">IFERROR(__xludf.dummyfunction("""COMPUTED_VALUE"""),"noticing::code::duplication")</f>
        <v>noticing::code::duplication</v>
      </c>
      <c r="G127" s="4" t="str">
        <f aca="false">IFERROR(__xludf.dummyfunction("""COMPUTED_VALUE"""),"asking::clarification::about::code::(performance)")</f>
        <v>asking::clarification::about::code::(performance)</v>
      </c>
      <c r="H127" s="4" t="str">
        <f aca="false">IFERROR(__xludf.dummyfunction("""COMPUTED_VALUE"""),"informing::recheck::after::build::failures")</f>
        <v>informing::recheck::after::build::failures</v>
      </c>
    </row>
    <row r="128" customFormat="false" ht="15.75" hidden="false" customHeight="false" outlineLevel="0" collapsed="false">
      <c r="A128" s="3" t="s">
        <v>1725</v>
      </c>
      <c r="B128" s="3" t="str">
        <f aca="false">IF(COUNTIF(Final_CB_R8_V5!$B$8:$B$20345,A128)&gt;=1,"YES","NO")</f>
        <v>YES</v>
      </c>
      <c r="C128" s="3" t="s">
        <v>1726</v>
      </c>
      <c r="D128" s="3" t="str">
        <f aca="false">IF(COUNTIF(Final_CB_R8_V5!$C$8:$C$2345,C128)&gt;=1,"YES","NO")</f>
        <v>YES</v>
      </c>
      <c r="F128" s="4" t="str">
        <f aca="false">IFERROR(__xludf.dummyfunction("""COMPUTED_VALUE"""),"noticing::copy::code::practice")</f>
        <v>noticing::copy::code::practice</v>
      </c>
      <c r="G128" s="4" t="str">
        <f aca="false">IFERROR(__xludf.dummyfunction("""COMPUTED_VALUE"""),"asking::clarification::about::code::(solution::design)")</f>
        <v>asking::clarification::about::code::(solution::design)</v>
      </c>
      <c r="H128" s="4" t="str">
        <f aca="false">IFERROR(__xludf.dummyfunction("""COMPUTED_VALUE"""),"informing::research::error::unit::test")</f>
        <v>informing::research::error::unit::test</v>
      </c>
    </row>
    <row r="129" customFormat="false" ht="15.75" hidden="false" customHeight="false" outlineLevel="0" collapsed="false">
      <c r="A129" s="3" t="s">
        <v>1550</v>
      </c>
      <c r="B129" s="3" t="str">
        <f aca="false">IF(COUNTIF(Final_CB_R8_V5!$B$8:$B$20345,A129)&gt;=1,"YES","NO")</f>
        <v>YES</v>
      </c>
      <c r="C129" s="3" t="s">
        <v>1727</v>
      </c>
      <c r="D129" s="3" t="str">
        <f aca="false">IF(COUNTIF(Final_CB_R8_V5!$C$8:$C$2345,C129)&gt;=1,"YES","NO")</f>
        <v>YES</v>
      </c>
      <c r="F129" s="4" t="str">
        <f aca="false">IFERROR(__xludf.dummyfunction("""COMPUTED_VALUE"""),"noticing::wrong::information(co::authors::commit)")</f>
        <v>noticing::wrong::information(co::authors::commit)</v>
      </c>
      <c r="G129" s="4" t="str">
        <f aca="false">IFERROR(__xludf.dummyfunction("""COMPUTED_VALUE"""),"asking::clarification::about::config")</f>
        <v>asking::clarification::about::config</v>
      </c>
      <c r="H129" s="4" t="str">
        <f aca="false">IFERROR(__xludf.dummyfunction("""COMPUTED_VALUE"""),"informing::switching::used::editor")</f>
        <v>informing::switching::used::editor</v>
      </c>
    </row>
    <row r="130" customFormat="false" ht="15.75" hidden="false" customHeight="false" outlineLevel="0" collapsed="false">
      <c r="A130" s="3" t="s">
        <v>1728</v>
      </c>
      <c r="B130" s="3" t="str">
        <f aca="false">IF(COUNTIF(Final_CB_R8_V5!$B$8:$B$20345,A130)&gt;=1,"YES","NO")</f>
        <v>YES</v>
      </c>
      <c r="C130" s="3" t="s">
        <v>1729</v>
      </c>
      <c r="D130" s="3" t="str">
        <f aca="false">IF(COUNTIF(Final_CB_R8_V5!$C$8:$C$2345,C130)&gt;=1,"YES","NO")</f>
        <v>YES</v>
      </c>
      <c r="F130" s="4" t="str">
        <f aca="false">IFERROR(__xludf.dummyfunction("""COMPUTED_VALUE"""),"objecting::intended::solution::design")</f>
        <v>objecting::intended::solution::design</v>
      </c>
      <c r="G130" s="4" t="str">
        <f aca="false">IFERROR(__xludf.dummyfunction("""COMPUTED_VALUE"""),"asking::clarification::about::dependency")</f>
        <v>asking::clarification::about::dependency</v>
      </c>
      <c r="H130" s="4" t="str">
        <f aca="false">IFERROR(__xludf.dummyfunction("""COMPUTED_VALUE"""),"informing::tests::results")</f>
        <v>informing::tests::results</v>
      </c>
    </row>
    <row r="131" customFormat="false" ht="15.75" hidden="false" customHeight="false" outlineLevel="0" collapsed="false">
      <c r="A131" s="3" t="s">
        <v>1552</v>
      </c>
      <c r="B131" s="3" t="str">
        <f aca="false">IF(COUNTIF(Final_CB_R8_V5!$B$8:$B$20345,A131)&gt;=1,"YES","NO")</f>
        <v>YES</v>
      </c>
      <c r="C131" s="3" t="s">
        <v>1730</v>
      </c>
      <c r="D131" s="3" t="str">
        <f aca="false">IF(COUNTIF(Final_CB_R8_V5!$C$8:$C$2345,C131)&gt;=1,"YES","NO")</f>
        <v>YES</v>
      </c>
      <c r="F131" s="4" t="str">
        <f aca="false">IFERROR(__xludf.dummyfunction("""COMPUTED_VALUE"""),"objecting::objecting::suggestion::change::(move::logic)")</f>
        <v>objecting::objecting::suggestion::change::(move::logic)</v>
      </c>
      <c r="G131" s="4" t="str">
        <f aca="false">IFERROR(__xludf.dummyfunction("""COMPUTED_VALUE"""),"asking::clarification::about::dependency::(api::version)")</f>
        <v>asking::clarification::about::dependency::(api::version)</v>
      </c>
      <c r="H131" s="4" t="str">
        <f aca="false">IFERROR(__xludf.dummyfunction("""COMPUTED_VALUE"""),"informing::that::questions::about::how::to::use::do::not::belong::PR")</f>
        <v>informing::that::questions::about::how::to::use::do::not::belong::PR</v>
      </c>
    </row>
    <row r="132" customFormat="false" ht="15.75" hidden="false" customHeight="false" outlineLevel="0" collapsed="false">
      <c r="A132" s="3" t="s">
        <v>1731</v>
      </c>
      <c r="B132" s="3" t="str">
        <f aca="false">IF(COUNTIF(Final_CB_R8_V5!$B$8:$B$20345,A132)&gt;=1,"YES","NO")</f>
        <v>YES</v>
      </c>
      <c r="C132" s="3" t="s">
        <v>1732</v>
      </c>
      <c r="D132" s="3" t="str">
        <f aca="false">IF(COUNTIF(Final_CB_R8_V5!$C$8:$C$2345,C132)&gt;=1,"YES","NO")</f>
        <v>YES</v>
      </c>
      <c r="F132" s="4" t="str">
        <f aca="false">IFERROR(__xludf.dummyfunction("""COMPUTED_VALUE"""),"objecting::objection::suggestion::refactoring::(use::method/function)")</f>
        <v>objecting::objection::suggestion::refactoring::(use::method/function)</v>
      </c>
      <c r="G132" s="4" t="str">
        <f aca="false">IFERROR(__xludf.dummyfunction("""COMPUTED_VALUE"""),"asking::clarification::about::documentation")</f>
        <v>asking::clarification::about::documentation</v>
      </c>
      <c r="H132" s="4" t="str">
        <f aca="false">IFERROR(__xludf.dummyfunction("""COMPUTED_VALUE"""),"informing::that::there::are::no::bugs::after::build::failures")</f>
        <v>informing::that::there::are::no::bugs::after::build::failures</v>
      </c>
    </row>
    <row r="133" customFormat="false" ht="15.75" hidden="false" customHeight="false" outlineLevel="0" collapsed="false">
      <c r="A133" s="3" t="s">
        <v>1562</v>
      </c>
      <c r="B133" s="3" t="str">
        <f aca="false">IF(COUNTIF(Final_CB_R8_V5!$B$8:$B$20345,A133)&gt;=1,"YES","NO")</f>
        <v>YES</v>
      </c>
      <c r="C133" s="3" t="s">
        <v>1733</v>
      </c>
      <c r="D133" s="3" t="str">
        <f aca="false">IF(COUNTIF(Final_CB_R8_V5!$C$8:$C$2345,C133)&gt;=1,"YES","NO")</f>
        <v>YES</v>
      </c>
      <c r="F133" s="4" t="str">
        <f aca="false">IFERROR(__xludf.dummyfunction("""COMPUTED_VALUE"""),"objecting::suggestion::change::(missing::tests)")</f>
        <v>objecting::suggestion::change::(missing::tests)</v>
      </c>
      <c r="G133" s="4" t="str">
        <f aca="false">IFERROR(__xludf.dummyfunction("""COMPUTED_VALUE"""),"asking::clarification::about::suggestion::(logging)")</f>
        <v>asking::clarification::about::suggestion::(logging)</v>
      </c>
      <c r="H133" s="4" t="str">
        <f aca="false">IFERROR(__xludf.dummyfunction("""COMPUTED_VALUE"""),"informing::the::impossibility::(run::tests)")</f>
        <v>informing::the::impossibility::(run::tests)</v>
      </c>
    </row>
    <row r="134" customFormat="false" ht="15.75" hidden="false" customHeight="false" outlineLevel="0" collapsed="false">
      <c r="A134" s="3" t="s">
        <v>1564</v>
      </c>
      <c r="B134" s="3" t="str">
        <f aca="false">IF(COUNTIF(Final_CB_R8_V5!$B$8:$B$20345,A134)&gt;=1,"YES","NO")</f>
        <v>YES</v>
      </c>
      <c r="C134" s="3" t="s">
        <v>1734</v>
      </c>
      <c r="D134" s="3" t="str">
        <f aca="false">IF(COUNTIF(Final_CB_R8_V5!$C$8:$C$2345,C134)&gt;=1,"YES","NO")</f>
        <v>YES</v>
      </c>
      <c r="F134" s="4" t="str">
        <f aca="false">IFERROR(__xludf.dummyfunction("""COMPUTED_VALUE"""),"objecting::suggestion::change::(move::logic)")</f>
        <v>objecting::suggestion::change::(move::logic)</v>
      </c>
      <c r="G134" s="4" t="str">
        <f aca="false">IFERROR(__xludf.dummyfunction("""COMPUTED_VALUE"""),"asking::clarification::about::suggestion::(logic)")</f>
        <v>asking::clarification::about::suggestion::(logic)</v>
      </c>
      <c r="H134" s="4" t="str">
        <f aca="false">IFERROR(__xludf.dummyfunction("""COMPUTED_VALUE"""),"informing::version::software")</f>
        <v>informing::version::software</v>
      </c>
    </row>
    <row r="135" customFormat="false" ht="15.75" hidden="false" customHeight="false" outlineLevel="0" collapsed="false">
      <c r="A135" s="3" t="s">
        <v>1735</v>
      </c>
      <c r="B135" s="3" t="str">
        <f aca="false">IF(COUNTIF(Final_CB_R8_V5!$B$8:$B$20345,A135)&gt;=1,"YES","NO")</f>
        <v>YES</v>
      </c>
      <c r="C135" s="3" t="s">
        <v>1736</v>
      </c>
      <c r="D135" s="3" t="str">
        <f aca="false">IF(COUNTIF(Final_CB_R8_V5!$C$8:$C$2345,C135)&gt;=1,"YES","NO")</f>
        <v>YES</v>
      </c>
      <c r="F135" s="4" t="str">
        <f aca="false">IFERROR(__xludf.dummyfunction("""COMPUTED_VALUE"""),"objecting::suggestion::change::(solution::design)")</f>
        <v>objecting::suggestion::change::(solution::design)</v>
      </c>
      <c r="G135" s="4" t="str">
        <f aca="false">IFERROR(__xludf.dummyfunction("""COMPUTED_VALUE"""),"asking::clarification::intended::test::design")</f>
        <v>asking::clarification::intended::test::design</v>
      </c>
      <c r="H135" s="4" t="str">
        <f aca="false">IFERROR(__xludf.dummyfunction("""COMPUTED_VALUE"""),"informing::work::in::progress2::(vote::workflow-1)")</f>
        <v>informing::work::in::progress2::(vote::workflow-1)</v>
      </c>
    </row>
    <row r="136" customFormat="false" ht="15.75" hidden="false" customHeight="false" outlineLevel="0" collapsed="false">
      <c r="A136" s="3" t="s">
        <v>1737</v>
      </c>
      <c r="B136" s="3" t="str">
        <f aca="false">IF(COUNTIF(Final_CB_R8_V5!$B$8:$B$20345,A136)&gt;=1,"YES","NO")</f>
        <v>YES</v>
      </c>
      <c r="C136" s="3" t="s">
        <v>1738</v>
      </c>
      <c r="D136" s="3" t="str">
        <f aca="false">IF(COUNTIF(Final_CB_R8_V5!$C$8:$C$2345,C136)&gt;=1,"YES","NO")</f>
        <v>YES</v>
      </c>
      <c r="F136" s="4" t="str">
        <f aca="false">IFERROR(__xludf.dummyfunction("""COMPUTED_VALUE"""),"objecting::suggestion::change::(to::mantain::bacward::compatibility)")</f>
        <v>objecting::suggestion::change::(to::mantain::bacward::compatibility)</v>
      </c>
      <c r="G136" s="4" t="str">
        <f aca="false">IFERROR(__xludf.dummyfunction("""COMPUTED_VALUE"""),"asking::clarification::suggestion::refactoring::(accessibility::modifiers)")</f>
        <v>asking::clarification::suggestion::refactoring::(accessibility::modifiers)</v>
      </c>
      <c r="H136" s="4" t="str">
        <f aca="false">IFERROR(__xludf.dummyfunction("""COMPUTED_VALUE"""),"informing::work::in::progress3::(vote::workflow-1)")</f>
        <v>informing::work::in::progress3::(vote::workflow-1)</v>
      </c>
    </row>
    <row r="137" customFormat="false" ht="15.75" hidden="false" customHeight="false" outlineLevel="0" collapsed="false">
      <c r="A137" s="3" t="s">
        <v>1582</v>
      </c>
      <c r="B137" s="3" t="str">
        <f aca="false">IF(COUNTIF(Final_CB_R8_V5!$B$8:$B$20345,A137)&gt;=1,"YES","NO")</f>
        <v>YES</v>
      </c>
      <c r="C137" s="3" t="s">
        <v>1739</v>
      </c>
      <c r="D137" s="3" t="str">
        <f aca="false">IF(COUNTIF(Final_CB_R8_V5!$C$8:$C$2345,C137)&gt;=1,"YES","NO")</f>
        <v>YES</v>
      </c>
      <c r="F137" s="4" t="str">
        <f aca="false">IFERROR(__xludf.dummyfunction("""COMPUTED_VALUE"""),"objecting::suggestion::change::(update::method)")</f>
        <v>objecting::suggestion::change::(update::method)</v>
      </c>
      <c r="G137" s="4" t="str">
        <f aca="false">IFERROR(__xludf.dummyfunction("""COMPUTED_VALUE"""),"asking::clarification::suggestion::refactoring::(style::add:newline)")</f>
        <v>asking::clarification::suggestion::refactoring::(style::add:newline)</v>
      </c>
      <c r="H137" s="4" t="str">
        <f aca="false">IFERROR(__xludf.dummyfunction("""COMPUTED_VALUE"""),"informing::work::in::progress4::(vote::workflow-1)")</f>
        <v>informing::work::in::progress4::(vote::workflow-1)</v>
      </c>
    </row>
    <row r="138" customFormat="false" ht="15.75" hidden="false" customHeight="false" outlineLevel="0" collapsed="false">
      <c r="A138" s="3" t="s">
        <v>1592</v>
      </c>
      <c r="B138" s="3" t="str">
        <f aca="false">IF(COUNTIF(Final_CB_R8_V5!$B$8:$B$20345,A138)&gt;=1,"YES","NO")</f>
        <v>YES</v>
      </c>
      <c r="C138" s="3" t="s">
        <v>1740</v>
      </c>
      <c r="D138" s="3" t="str">
        <f aca="false">IF(COUNTIF(Final_CB_R8_V5!$C$8:$C$2345,C138)&gt;=1,"YES","NO")</f>
        <v>YES</v>
      </c>
      <c r="F138" s="4" t="str">
        <f aca="false">IFERROR(__xludf.dummyfunction("""COMPUTED_VALUE"""),"objecting::suggestion::change::(variable::to::constant)")</f>
        <v>objecting::suggestion::change::(variable::to::constant)</v>
      </c>
      <c r="G138" s="4" t="str">
        <f aca="false">IFERROR(__xludf.dummyfunction("""COMPUTED_VALUE"""),"asking::for::assistance::(unrelated)")</f>
        <v>asking::for::assistance::(unrelated)</v>
      </c>
      <c r="H138" s="4" t="str">
        <f aca="false">IFERROR(__xludf.dummyfunction("""COMPUTED_VALUE"""),"informing::work::in::progress::(vote::workflow-1)")</f>
        <v>informing::work::in::progress::(vote::workflow-1)</v>
      </c>
    </row>
    <row r="139" customFormat="false" ht="15.75" hidden="false" customHeight="false" outlineLevel="0" collapsed="false">
      <c r="A139" s="3" t="s">
        <v>1596</v>
      </c>
      <c r="B139" s="3" t="str">
        <f aca="false">IF(COUNTIF(Final_CB_R8_V5!$B$8:$B$20345,A139)&gt;=1,"YES","NO")</f>
        <v>YES</v>
      </c>
      <c r="C139" s="3" t="s">
        <v>1741</v>
      </c>
      <c r="D139" s="3" t="str">
        <f aca="false">IF(COUNTIF(Final_CB_R8_V5!$C$8:$C$2345,C139)&gt;=1,"YES","NO")</f>
        <v>YES</v>
      </c>
      <c r="F139" s="4" t="str">
        <f aca="false">IFERROR(__xludf.dummyfunction("""COMPUTED_VALUE"""),"objecting::suggestion::refactoring::(cleaner::code)")</f>
        <v>objecting::suggestion::refactoring::(cleaner::code)</v>
      </c>
      <c r="G139" s="4" t="str">
        <f aca="false">IFERROR(__xludf.dummyfunction("""COMPUTED_VALUE"""),"asking::for::feedback")</f>
        <v>asking::for::feedback</v>
      </c>
      <c r="H139" s="4" t="str">
        <f aca="false">IFERROR(__xludf.dummyfunction("""COMPUTED_VALUE"""),"justifying::no::need::of::new::tests")</f>
        <v>justifying::no::need::of::new::tests</v>
      </c>
    </row>
    <row r="140" customFormat="false" ht="15.75" hidden="false" customHeight="false" outlineLevel="0" collapsed="false">
      <c r="A140" s="3" t="s">
        <v>1598</v>
      </c>
      <c r="B140" s="3" t="str">
        <f aca="false">IF(COUNTIF(Final_CB_R8_V5!$B$8:$B$20345,A140)&gt;=1,"YES","NO")</f>
        <v>YES</v>
      </c>
      <c r="C140" s="3" t="s">
        <v>1742</v>
      </c>
      <c r="D140" s="3" t="str">
        <f aca="false">IF(COUNTIF(Final_CB_R8_V5!$C$8:$C$2345,C140)&gt;=1,"YES","NO")</f>
        <v>YES</v>
      </c>
      <c r="F140" s="4" t="str">
        <f aca="false">IFERROR(__xludf.dummyfunction("""COMPUTED_VALUE"""),"objecting::suggestion::refactoring::(move::logic)")</f>
        <v>objecting::suggestion::refactoring::(move::logic)</v>
      </c>
      <c r="G140" s="4" t="str">
        <f aca="false">IFERROR(__xludf.dummyfunction("""COMPUTED_VALUE"""),"bug::fixed")</f>
        <v>bug::fixed</v>
      </c>
      <c r="H140" s="4" t="str">
        <f aca="false">IFERROR(__xludf.dummyfunction("""COMPUTED_VALUE"""),"justifying::the::approach::of::the::change")</f>
        <v>justifying::the::approach::of::the::change</v>
      </c>
    </row>
    <row r="141" customFormat="false" ht="15.75" hidden="false" customHeight="false" outlineLevel="0" collapsed="false">
      <c r="A141" s="3" t="s">
        <v>1606</v>
      </c>
      <c r="B141" s="3" t="str">
        <f aca="false">IF(COUNTIF(Final_CB_R8_V5!$B$8:$B$20345,A141)&gt;=1,"YES","NO")</f>
        <v>YES</v>
      </c>
      <c r="C141" s="3" t="s">
        <v>1743</v>
      </c>
      <c r="D141" s="3" t="str">
        <f aca="false">IF(COUNTIF(Final_CB_R8_V5!$C$8:$C$2345,C141)&gt;=1,"YES","NO")</f>
        <v>YES</v>
      </c>
      <c r="F141" s="4" t="str">
        <f aca="false">IFERROR(__xludf.dummyfunction("""COMPUTED_VALUE"""),"objecting::suggestion::refactoring::(performance)")</f>
        <v>objecting::suggestion::refactoring::(performance)</v>
      </c>
      <c r="G141" s="4" t="str">
        <f aca="false">IFERROR(__xludf.dummyfunction("""COMPUTED_VALUE"""),"cc::other::discssants")</f>
        <v>cc::other::discssants</v>
      </c>
      <c r="H141" s="4" t="str">
        <f aca="false">IFERROR(__xludf.dummyfunction("""COMPUTED_VALUE"""),"mediate::objecting::and::suggestion::change::(move::logic)")</f>
        <v>mediate::objecting::and::suggestion::change::(move::logic)</v>
      </c>
    </row>
    <row r="142" customFormat="false" ht="15.75" hidden="false" customHeight="false" outlineLevel="0" collapsed="false">
      <c r="A142" s="3" t="s">
        <v>1610</v>
      </c>
      <c r="B142" s="3" t="str">
        <f aca="false">IF(COUNTIF(Final_CB_R8_V5!$B$8:$B$20345,A142)&gt;=1,"YES","NO")</f>
        <v>YES</v>
      </c>
      <c r="C142" s="3" t="s">
        <v>1744</v>
      </c>
      <c r="D142" s="3" t="str">
        <f aca="false">IF(COUNTIF(Final_CB_R8_V5!$C$8:$C$2345,C142)&gt;=1,"YES","NO")</f>
        <v>YES</v>
      </c>
      <c r="F142" s="4" t="str">
        <f aca="false">IFERROR(__xludf.dummyfunction("""COMPUTED_VALUE"""),"objecting::suggestion::refactoring::(prevent::failure)")</f>
        <v>objecting::suggestion::refactoring::(prevent::failure)</v>
      </c>
      <c r="G142" s="4" t="str">
        <f aca="false">IFERROR(__xludf.dummyfunction("""COMPUTED_VALUE"""),"changes::required::for::submitting")</f>
        <v>changes::required::for::submitting</v>
      </c>
      <c r="H142" s="4" t="str">
        <f aca="false">IFERROR(__xludf.dummyfunction("""COMPUTED_VALUE"""),"mentioning::co::authors")</f>
        <v>mentioning::co::authors</v>
      </c>
    </row>
    <row r="143" customFormat="false" ht="15.75" hidden="false" customHeight="false" outlineLevel="0" collapsed="false">
      <c r="A143" s="3" t="s">
        <v>1745</v>
      </c>
      <c r="B143" s="3" t="str">
        <f aca="false">IF(COUNTIF(Final_CB_R8_V5!$B$8:$B$20345,A143)&gt;=1,"YES","NO")</f>
        <v>YES</v>
      </c>
      <c r="C143" s="3" t="s">
        <v>1746</v>
      </c>
      <c r="D143" s="3" t="str">
        <f aca="false">IF(COUNTIF(Final_CB_R8_V5!$C$8:$C$2345,C143)&gt;=1,"YES","NO")</f>
        <v>YES</v>
      </c>
      <c r="F143" s="4" t="str">
        <f aca="false">IFERROR(__xludf.dummyfunction("""COMPUTED_VALUE"""),"objecting::suggestion::refactoring::(removing::unnecessary::code)")</f>
        <v>objecting::suggestion::refactoring::(removing::unnecessary::code)</v>
      </c>
      <c r="G143" s="4" t="str">
        <f aca="false">IFERROR(__xludf.dummyfunction("""COMPUTED_VALUE"""),"changes::required::for::submitting::(comments::added)")</f>
        <v>changes::required::for::submitting::(comments::added)</v>
      </c>
      <c r="H143" s="4" t="str">
        <f aca="false">IFERROR(__xludf.dummyfunction("""COMPUTED_VALUE"""),"mentioning::experience::in::project::(new::in::project)")</f>
        <v>mentioning::experience::in::project::(new::in::project)</v>
      </c>
    </row>
    <row r="144" customFormat="false" ht="15.75" hidden="false" customHeight="false" outlineLevel="0" collapsed="false">
      <c r="A144" s="3" t="s">
        <v>1614</v>
      </c>
      <c r="B144" s="3" t="str">
        <f aca="false">IF(COUNTIF(Final_CB_R8_V5!$B$8:$B$20345,A144)&gt;=1,"YES","NO")</f>
        <v>YES</v>
      </c>
      <c r="C144" s="3" t="s">
        <v>1747</v>
      </c>
      <c r="D144" s="3" t="str">
        <f aca="false">IF(COUNTIF(Final_CB_R8_V5!$C$8:$C$2345,C144)&gt;=1,"YES","NO")</f>
        <v>YES</v>
      </c>
      <c r="F144" s="4" t="str">
        <f aca="false">IFERROR(__xludf.dummyfunction("""COMPUTED_VALUE"""),"objecting::suggestion::refactoring::(renaming)")</f>
        <v>objecting::suggestion::refactoring::(renaming)</v>
      </c>
      <c r="G144" s="4" t="str">
        <f aca="false">IFERROR(__xludf.dummyfunction("""COMPUTED_VALUE"""),"compliment::to::the::author")</f>
        <v>compliment::to::the::author</v>
      </c>
      <c r="H144" s="4" t="str">
        <f aca="false">IFERROR(__xludf.dummyfunction("""COMPUTED_VALUE"""),"not::approval::for::submitting")</f>
        <v>not::approval::for::submitting</v>
      </c>
    </row>
    <row r="145" customFormat="false" ht="15.75" hidden="false" customHeight="false" outlineLevel="0" collapsed="false">
      <c r="A145" s="3" t="s">
        <v>1748</v>
      </c>
      <c r="B145" s="3" t="str">
        <f aca="false">IF(COUNTIF(Final_CB_R8_V5!$B$8:$B$20345,A145)&gt;=1,"YES","NO")</f>
        <v>YES</v>
      </c>
      <c r="C145" s="3" t="s">
        <v>1749</v>
      </c>
      <c r="D145" s="3" t="str">
        <f aca="false">IF(COUNTIF(Final_CB_R8_V5!$C$8:$C$2345,C145)&gt;=1,"YES","NO")</f>
        <v>YES</v>
      </c>
      <c r="F145" s="4" t="str">
        <f aca="false">IFERROR(__xludf.dummyfunction("""COMPUTED_VALUE"""),"objecting::suggestion::refactoring::(style)")</f>
        <v>objecting::suggestion::refactoring::(style)</v>
      </c>
      <c r="G145" s="4" t="str">
        <f aca="false">IFERROR(__xludf.dummyfunction("""COMPUTED_VALUE"""),"compliment::to::the::author::(test::design)")</f>
        <v>compliment::to::the::author::(test::design)</v>
      </c>
      <c r="H145" s="4" t="str">
        <f aca="false">IFERROR(__xludf.dummyfunction("""COMPUTED_VALUE"""),"not::approval::for::submitting::(as::merge)")</f>
        <v>not::approval::for::submitting::(as::merge)</v>
      </c>
    </row>
    <row r="146" customFormat="false" ht="15.75" hidden="false" customHeight="false" outlineLevel="0" collapsed="false">
      <c r="A146" s="3" t="s">
        <v>1618</v>
      </c>
      <c r="B146" s="3" t="str">
        <f aca="false">IF(COUNTIF(Final_CB_R8_V5!$B$8:$B$20345,A146)&gt;=1,"YES","NO")</f>
        <v>YES</v>
      </c>
      <c r="C146" s="3" t="s">
        <v>1750</v>
      </c>
      <c r="D146" s="3" t="str">
        <f aca="false">IF(COUNTIF(Final_CB_R8_V5!$C$8:$C$2345,C146)&gt;=1,"YES","NO")</f>
        <v>YES</v>
      </c>
      <c r="F146" s="4" t="str">
        <f aca="false">IFERROR(__xludf.dummyfunction("""COMPUTED_VALUE"""),"objecting::suggestion::refactoring::(use::loop)")</f>
        <v>objecting::suggestion::refactoring::(use::loop)</v>
      </c>
      <c r="G146" s="4" t="str">
        <f aca="false">IFERROR(__xludf.dummyfunction("""COMPUTED_VALUE"""),"compliment::to::the::author::(use::method/function)")</f>
        <v>compliment::to::the::author::(use::method/function)</v>
      </c>
      <c r="H146" s="4" t="str">
        <f aca="false">IFERROR(__xludf.dummyfunction("""COMPUTED_VALUE"""),"not::approval::for::submitting::(vote)")</f>
        <v>not::approval::for::submitting::(vote)</v>
      </c>
    </row>
    <row r="147" customFormat="false" ht="15.75" hidden="false" customHeight="false" outlineLevel="0" collapsed="false">
      <c r="A147" s="3" t="s">
        <v>1751</v>
      </c>
      <c r="B147" s="3" t="str">
        <f aca="false">IF(COUNTIF(Final_CB_R8_V5!$B$8:$B$20345,A147)&gt;=1,"YES","NO")</f>
        <v>YES</v>
      </c>
      <c r="C147" s="3" t="s">
        <v>1752</v>
      </c>
      <c r="D147" s="3" t="str">
        <f aca="false">IF(COUNTIF(Final_CB_R8_V5!$C$8:$C$2345,C147)&gt;=1,"YES","NO")</f>
        <v>YES</v>
      </c>
      <c r="F147" s="4" t="str">
        <f aca="false">IFERROR(__xludf.dummyfunction("""COMPUTED_VALUE"""),"objecting::suggestion::refactoring::(use::method/function)")</f>
        <v>objecting::suggestion::refactoring::(use::method/function)</v>
      </c>
      <c r="G147" s="4" t="str">
        <f aca="false">IFERROR(__xludf.dummyfunction("""COMPUTED_VALUE"""),"confirming::bug::fixed")</f>
        <v>confirming::bug::fixed</v>
      </c>
      <c r="H147" s="4" t="str">
        <f aca="false">IFERROR(__xludf.dummyfunction("""COMPUTED_VALUE"""),"noticing::code::(deleted::code)")</f>
        <v>noticing::code::(deleted::code)</v>
      </c>
    </row>
    <row r="148" customFormat="false" ht="15.75" hidden="false" customHeight="false" outlineLevel="0" collapsed="false">
      <c r="A148" s="3" t="s">
        <v>1622</v>
      </c>
      <c r="B148" s="3" t="str">
        <f aca="false">IF(COUNTIF(Final_CB_R8_V5!$B$8:$B$20345,A148)&gt;=1,"YES","NO")</f>
        <v>YES</v>
      </c>
      <c r="C148" s="3" t="s">
        <v>1753</v>
      </c>
      <c r="D148" s="3" t="str">
        <f aca="false">IF(COUNTIF(Final_CB_R8_V5!$C$8:$C$2345,C148)&gt;=1,"YES","NO")</f>
        <v>YES</v>
      </c>
      <c r="F148" s="4" t="str">
        <f aca="false">IFERROR(__xludf.dummyfunction("""COMPUTED_VALUE"""),"pr::is::continuation::of::other::pr")</f>
        <v>pr::is::continuation::of::other::pr</v>
      </c>
      <c r="G148" s="4" t="str">
        <f aca="false">IFERROR(__xludf.dummyfunction("""COMPUTED_VALUE"""),"confirming::possbile::bug")</f>
        <v>confirming::possbile::bug</v>
      </c>
      <c r="H148" s="4" t="str">
        <f aca="false">IFERROR(__xludf.dummyfunction("""COMPUTED_VALUE"""),"noticing::code::(race::condition)")</f>
        <v>noticing::code::(race::condition)</v>
      </c>
    </row>
    <row r="149" customFormat="false" ht="15.75" hidden="false" customHeight="false" outlineLevel="0" collapsed="false">
      <c r="A149" s="3" t="s">
        <v>1624</v>
      </c>
      <c r="B149" s="3" t="str">
        <f aca="false">IF(COUNTIF(Final_CB_R8_V5!$B$8:$B$20345,A149)&gt;=1,"YES","NO")</f>
        <v>YES</v>
      </c>
      <c r="C149" s="3" t="s">
        <v>1754</v>
      </c>
      <c r="D149" s="3" t="str">
        <f aca="false">IF(COUNTIF(Final_CB_R8_V5!$C$8:$C$2345,C149)&gt;=1,"YES","NO")</f>
        <v>YES</v>
      </c>
      <c r="F149" s="4" t="str">
        <f aca="false">IFERROR(__xludf.dummyfunction("""COMPUTED_VALUE"""),"providing::clarification::(need::of::new::PR)")</f>
        <v>providing::clarification::(need::of::new::PR)</v>
      </c>
      <c r="G149" s="4" t="str">
        <f aca="false">IFERROR(__xludf.dummyfunction("""COMPUTED_VALUE"""),"content::of::each::patchset")</f>
        <v>content::of::each::patchset</v>
      </c>
      <c r="H149" s="4" t="str">
        <f aca="false">IFERROR(__xludf.dummyfunction("""COMPUTED_VALUE"""),"noticing::comment::not::addressed::(previous::patch)")</f>
        <v>noticing::comment::not::addressed::(previous::patch)</v>
      </c>
    </row>
    <row r="150" customFormat="false" ht="15.75" hidden="false" customHeight="false" outlineLevel="0" collapsed="false">
      <c r="A150" s="3" t="s">
        <v>1755</v>
      </c>
      <c r="B150" s="3" t="str">
        <f aca="false">IF(COUNTIF(Final_CB_R8_V5!$B$8:$B$20345,A150)&gt;=1,"YES","NO")</f>
        <v>YES</v>
      </c>
      <c r="C150" s="3" t="s">
        <v>1756</v>
      </c>
      <c r="D150" s="3" t="str">
        <f aca="false">IF(COUNTIF(Final_CB_R8_V5!$C$8:$C$2345,C150)&gt;=1,"YES","NO")</f>
        <v>YES</v>
      </c>
      <c r="F150" s="4" t="str">
        <f aca="false">IFERROR(__xludf.dummyfunction("""COMPUTED_VALUE"""),"providing::clarification::(need::to::remove::code)")</f>
        <v>providing::clarification::(need::to::remove::code)</v>
      </c>
      <c r="G150" s="4" t="str">
        <f aca="false">IFERROR(__xludf.dummyfunction("""COMPUTED_VALUE"""),"correcting::own::suggestion")</f>
        <v>correcting::own::suggestion</v>
      </c>
      <c r="H150" s="4" t="str">
        <f aca="false">IFERROR(__xludf.dummyfunction("""COMPUTED_VALUE"""),"noticing::overwritting::code")</f>
        <v>noticing::overwritting::code</v>
      </c>
    </row>
    <row r="151" customFormat="false" ht="15.75" hidden="false" customHeight="false" outlineLevel="0" collapsed="false">
      <c r="A151" s="3" t="s">
        <v>1757</v>
      </c>
      <c r="B151" s="3" t="str">
        <f aca="false">IF(COUNTIF(Final_CB_R8_V5!$B$8:$B$20345,A151)&gt;=1,"YES","NO")</f>
        <v>YES</v>
      </c>
      <c r="C151" s="3" t="s">
        <v>1758</v>
      </c>
      <c r="D151" s="3" t="str">
        <f aca="false">IF(COUNTIF(Final_CB_R8_V5!$C$8:$C$2345,C151)&gt;=1,"YES","NO")</f>
        <v>YES</v>
      </c>
      <c r="F151" s="4" t="str">
        <f aca="false">IFERROR(__xludf.dummyfunction("""COMPUTED_VALUE"""),"providing::clarification::about::code::(design)")</f>
        <v>providing::clarification::about::code::(design)</v>
      </c>
      <c r="G151" s="4" t="str">
        <f aca="false">IFERROR(__xludf.dummyfunction("""COMPUTED_VALUE"""),"discussing::about::change::(blueprint::bp::needed)")</f>
        <v>discussing::about::change::(blueprint::bp::needed)</v>
      </c>
      <c r="H151" s="4" t="str">
        <f aca="false">IFERROR(__xludf.dummyfunction("""COMPUTED_VALUE"""),"noticing::style::change::in::code::(tab::space::indent)")</f>
        <v>noticing::style::change::in::code::(tab::space::indent)</v>
      </c>
    </row>
    <row r="152" customFormat="false" ht="15.75" hidden="false" customHeight="false" outlineLevel="0" collapsed="false">
      <c r="A152" s="3" t="s">
        <v>1642</v>
      </c>
      <c r="B152" s="3" t="str">
        <f aca="false">IF(COUNTIF(Final_CB_R8_V5!$B$8:$B$20345,A152)&gt;=1,"YES","NO")</f>
        <v>YES</v>
      </c>
      <c r="C152" s="3" t="s">
        <v>1759</v>
      </c>
      <c r="D152" s="3" t="str">
        <f aca="false">IF(COUNTIF(Final_CB_R8_V5!$C$8:$C$2345,C152)&gt;=1,"YES","NO")</f>
        <v>YES</v>
      </c>
      <c r="F152" s="4" t="str">
        <f aca="false">IFERROR(__xludf.dummyfunction("""COMPUTED_VALUE"""),"providing::clarification::about::code::(functionallity)")</f>
        <v>providing::clarification::about::code::(functionallity)</v>
      </c>
      <c r="G152" s="4" t="str">
        <f aca="false">IFERROR(__xludf.dummyfunction("""COMPUTED_VALUE"""),"discussing::about::change::(issue::with::change)")</f>
        <v>discussing::about::change::(issue::with::change)</v>
      </c>
      <c r="H152" s="4" t="str">
        <f aca="false">IFERROR(__xludf.dummyfunction("""COMPUTED_VALUE"""),"noticing::unnecessary::variable")</f>
        <v>noticing::unnecessary::variable</v>
      </c>
    </row>
    <row r="153" customFormat="false" ht="15.75" hidden="false" customHeight="false" outlineLevel="0" collapsed="false">
      <c r="A153" s="3" t="s">
        <v>1760</v>
      </c>
      <c r="B153" s="3" t="str">
        <f aca="false">IF(COUNTIF(Final_CB_R8_V5!$B$8:$B$20345,A153)&gt;=1,"YES","NO")</f>
        <v>YES</v>
      </c>
      <c r="C153" s="3" t="s">
        <v>1761</v>
      </c>
      <c r="D153" s="3" t="str">
        <f aca="false">IF(COUNTIF(Final_CB_R8_V5!$C$8:$C$2345,C153)&gt;=1,"YES","NO")</f>
        <v>YES</v>
      </c>
      <c r="F153" s="4" t="str">
        <f aca="false">IFERROR(__xludf.dummyfunction("""COMPUTED_VALUE"""),"providing::clarification::about::code::(input::parameter)")</f>
        <v>providing::clarification::about::code::(input::parameter)</v>
      </c>
      <c r="G153" s="4" t="str">
        <f aca="false">IFERROR(__xludf.dummyfunction("""COMPUTED_VALUE"""),"discussing::about::code::(performance)")</f>
        <v>discussing::about::code::(performance)</v>
      </c>
      <c r="H153" s="4" t="str">
        <f aca="false">IFERROR(__xludf.dummyfunction("""COMPUTED_VALUE"""),"noticing::wrong::information(author::commit)")</f>
        <v>noticing::wrong::information(author::commit)</v>
      </c>
    </row>
    <row r="154" customFormat="false" ht="15.75" hidden="false" customHeight="false" outlineLevel="0" collapsed="false">
      <c r="A154" s="3" t="s">
        <v>1650</v>
      </c>
      <c r="B154" s="3" t="str">
        <f aca="false">IF(COUNTIF(Final_CB_R8_V5!$B$8:$B$20345,A154)&gt;=1,"YES","NO")</f>
        <v>YES</v>
      </c>
      <c r="C154" s="3" t="s">
        <v>1762</v>
      </c>
      <c r="D154" s="3" t="str">
        <f aca="false">IF(COUNTIF(Final_CB_R8_V5!$C$8:$C$2345,C154)&gt;=1,"YES","NO")</f>
        <v>YES</v>
      </c>
      <c r="F154" s="4" t="str">
        <f aca="false">IFERROR(__xludf.dummyfunction("""COMPUTED_VALUE"""),"providing::clarification::about::code::(logic)")</f>
        <v>providing::clarification::about::code::(logic)</v>
      </c>
      <c r="G154" s="4" t="str">
        <f aca="false">IFERROR(__xludf.dummyfunction("""COMPUTED_VALUE"""),"discussing::about::intended::solution::design::(without::prev::commits)")</f>
        <v>discussing::about::intended::solution::design::(without::prev::commits)</v>
      </c>
      <c r="H154" s="4" t="str">
        <f aca="false">IFERROR(__xludf.dummyfunction("""COMPUTED_VALUE"""),"objecting::change::intended::solution::design")</f>
        <v>objecting::change::intended::solution::design</v>
      </c>
    </row>
    <row r="155" customFormat="false" ht="15.75" hidden="false" customHeight="false" outlineLevel="0" collapsed="false">
      <c r="A155" s="3" t="s">
        <v>1652</v>
      </c>
      <c r="B155" s="3" t="str">
        <f aca="false">IF(COUNTIF(Final_CB_R8_V5!$B$8:$B$20345,A155)&gt;=1,"YES","NO")</f>
        <v>YES</v>
      </c>
      <c r="C155" s="3" t="s">
        <v>1763</v>
      </c>
      <c r="D155" s="3" t="str">
        <f aca="false">IF(COUNTIF(Final_CB_R8_V5!$C$8:$C$2345,C155)&gt;=1,"YES","NO")</f>
        <v>YES</v>
      </c>
      <c r="F155" s="4" t="str">
        <f aca="false">IFERROR(__xludf.dummyfunction("""COMPUTED_VALUE"""),"providing::clarification::about::code::(missing::tests)")</f>
        <v>providing::clarification::about::code::(missing::tests)</v>
      </c>
      <c r="G155" s="4" t="str">
        <f aca="false">IFERROR(__xludf.dummyfunction("""COMPUTED_VALUE"""),"discussing::about::intended::test::design")</f>
        <v>discussing::about::intended::test::design</v>
      </c>
      <c r="H155" s="4" t="str">
        <f aca="false">IFERROR(__xludf.dummyfunction("""COMPUTED_VALUE"""),"objecting::clarification::about::code::(reason::of::the::design::tests)")</f>
        <v>objecting::clarification::about::code::(reason::of::the::design::tests)</v>
      </c>
    </row>
    <row r="156" customFormat="false" ht="15.75" hidden="false" customHeight="false" outlineLevel="0" collapsed="false">
      <c r="A156" s="3" t="s">
        <v>1764</v>
      </c>
      <c r="B156" s="3" t="str">
        <f aca="false">IF(COUNTIF(Final_CB_R8_V5!$B$8:$B$20345,A156)&gt;=1,"YES","NO")</f>
        <v>YES</v>
      </c>
      <c r="C156" s="3" t="s">
        <v>1765</v>
      </c>
      <c r="D156" s="3" t="str">
        <f aca="false">IF(COUNTIF(Final_CB_R8_V5!$C$8:$C$2345,C156)&gt;=1,"YES","NO")</f>
        <v>YES</v>
      </c>
      <c r="F156" s="4" t="str">
        <f aca="false">IFERROR(__xludf.dummyfunction("""COMPUTED_VALUE"""),"providing::clarification::about::code::(need::of::config::parameters)")</f>
        <v>providing::clarification::about::code::(need::of::config::parameters)</v>
      </c>
      <c r="G156" s="4" t="str">
        <f aca="false">IFERROR(__xludf.dummyfunction("""COMPUTED_VALUE"""),"discussing::about::related::issue")</f>
        <v>discussing::about::related::issue</v>
      </c>
      <c r="H156" s="4" t="str">
        <f aca="false">IFERROR(__xludf.dummyfunction("""COMPUTED_VALUE"""),"objecting::clarification::intended::solution::design::(it::is::a::new::BP)")</f>
        <v>objecting::clarification::intended::solution::design::(it::is::a::new::BP)</v>
      </c>
    </row>
    <row r="157" customFormat="false" ht="15.75" hidden="false" customHeight="false" outlineLevel="0" collapsed="false">
      <c r="A157" s="3" t="s">
        <v>1766</v>
      </c>
      <c r="B157" s="3" t="str">
        <f aca="false">IF(COUNTIF(Final_CB_R8_V5!$B$8:$B$20345,A157)&gt;=1,"YES","NO")</f>
        <v>YES</v>
      </c>
      <c r="C157" s="3" t="s">
        <v>1767</v>
      </c>
      <c r="D157" s="3" t="str">
        <f aca="false">IF(COUNTIF(Final_CB_R8_V5!$C$8:$C$2345,C157)&gt;=1,"YES","NO")</f>
        <v>YES</v>
      </c>
      <c r="F157" s="4" t="str">
        <f aca="false">IFERROR(__xludf.dummyfunction("""COMPUTED_VALUE"""),"providing::clarification::about::config::(fixed::values)")</f>
        <v>providing::clarification::about::config::(fixed::values)</v>
      </c>
      <c r="G157" s="4" t="str">
        <f aca="false">IFERROR(__xludf.dummyfunction("""COMPUTED_VALUE"""),"discussing::about::security")</f>
        <v>discussing::about::security</v>
      </c>
      <c r="H157" s="4" t="str">
        <f aca="false">IFERROR(__xludf.dummyfunction("""COMPUTED_VALUE"""),"objecting::code::(approach::change::config::file)")</f>
        <v>objecting::code::(approach::change::config::file)</v>
      </c>
    </row>
    <row r="158" customFormat="false" ht="15.75" hidden="false" customHeight="false" outlineLevel="0" collapsed="false">
      <c r="A158" s="3" t="s">
        <v>1768</v>
      </c>
      <c r="B158" s="3" t="str">
        <f aca="false">IF(COUNTIF(Final_CB_R8_V5!$B$8:$B$20345,A158)&gt;=1,"YES","NO")</f>
        <v>YES</v>
      </c>
      <c r="C158" s="3" t="s">
        <v>1769</v>
      </c>
      <c r="D158" s="3" t="str">
        <f aca="false">IF(COUNTIF(Final_CB_R8_V5!$C$8:$C$2345,C158)&gt;=1,"YES","NO")</f>
        <v>YES</v>
      </c>
      <c r="F158" s="4" t="str">
        <f aca="false">IFERROR(__xludf.dummyfunction("""COMPUTED_VALUE"""),"providing::clarification::about::dependencies")</f>
        <v>providing::clarification::about::dependencies</v>
      </c>
      <c r="G158" s="4" t="str">
        <f aca="false">IFERROR(__xludf.dummyfunction("""COMPUTED_VALUE"""),"discussing::about::solution::design")</f>
        <v>discussing::about::solution::design</v>
      </c>
      <c r="H158" s="4" t="str">
        <f aca="false">IFERROR(__xludf.dummyfunction("""COMPUTED_VALUE"""),"objecting::code::(need::of::config::parameters)")</f>
        <v>objecting::code::(need::of::config::parameters)</v>
      </c>
    </row>
    <row r="159" customFormat="false" ht="15.75" hidden="false" customHeight="false" outlineLevel="0" collapsed="false">
      <c r="A159" s="3" t="s">
        <v>1656</v>
      </c>
      <c r="B159" s="3" t="str">
        <f aca="false">IF(COUNTIF(Final_CB_R8_V5!$B$8:$B$20345,A159)&gt;=1,"YES","NO")</f>
        <v>YES</v>
      </c>
      <c r="C159" s="3" t="s">
        <v>1770</v>
      </c>
      <c r="D159" s="3" t="str">
        <f aca="false">IF(COUNTIF(Final_CB_R8_V5!$C$8:$C$2345,C159)&gt;=1,"YES","NO")</f>
        <v>YES</v>
      </c>
      <c r="F159" s="4" t="str">
        <f aca="false">IFERROR(__xludf.dummyfunction("""COMPUTED_VALUE"""),"providing::clarification::about::suggestion")</f>
        <v>providing::clarification::about::suggestion</v>
      </c>
      <c r="G159" s="4" t="str">
        <f aca="false">IFERROR(__xludf.dummyfunction("""COMPUTED_VALUE"""),"discussing::bad::practice")</f>
        <v>discussing::bad::practice</v>
      </c>
      <c r="H159" s="4" t="str">
        <f aca="false">IFERROR(__xludf.dummyfunction("""COMPUTED_VALUE"""),"objecting::current::approach::(change::for::api::version)")</f>
        <v>objecting::current::approach::(change::for::api::version)</v>
      </c>
    </row>
    <row r="160" customFormat="false" ht="15.75" hidden="false" customHeight="false" outlineLevel="0" collapsed="false">
      <c r="A160" s="3" t="s">
        <v>1658</v>
      </c>
      <c r="B160" s="3" t="str">
        <f aca="false">IF(COUNTIF(Final_CB_R8_V5!$B$8:$B$20345,A160)&gt;=1,"YES","NO")</f>
        <v>YES</v>
      </c>
      <c r="C160" s="3" t="s">
        <v>1771</v>
      </c>
      <c r="D160" s="3" t="str">
        <f aca="false">IF(COUNTIF(Final_CB_R8_V5!$C$8:$C$2345,C160)&gt;=1,"YES","NO")</f>
        <v>YES</v>
      </c>
      <c r="F160" s="4" t="str">
        <f aca="false">IFERROR(__xludf.dummyfunction("""COMPUTED_VALUE"""),"providing::clarification::developing::process::(added::wrong::commit::to::PR)")</f>
        <v>providing::clarification::developing::process::(added::wrong::commit::to::PR)</v>
      </c>
      <c r="G160" s="4" t="str">
        <f aca="false">IFERROR(__xludf.dummyfunction("""COMPUTED_VALUE"""),"disputing::request::for::assistance::(unrelated)")</f>
        <v>disputing::request::for::assistance::(unrelated)</v>
      </c>
      <c r="H160" s="4" t="str">
        <f aca="false">IFERROR(__xludf.dummyfunction("""COMPUTED_VALUE"""),"objecting::informing::conflicts::with::existing::dependency::(another::project)::of::the::change::(egg::and::chicken)")</f>
        <v>objecting::informing::conflicts::with::existing::dependency::(another::project)::of::the::change::(egg::and::chicken)</v>
      </c>
    </row>
    <row r="161" customFormat="false" ht="15.75" hidden="false" customHeight="false" outlineLevel="0" collapsed="false">
      <c r="A161" s="3" t="s">
        <v>1772</v>
      </c>
      <c r="B161" s="3" t="str">
        <f aca="false">IF(COUNTIF(Final_CB_R8_V5!$B$8:$B$20345,A161)&gt;=1,"YES","NO")</f>
        <v>YES</v>
      </c>
      <c r="C161" s="3" t="s">
        <v>1773</v>
      </c>
      <c r="D161" s="3" t="str">
        <f aca="false">IF(COUNTIF(Final_CB_R8_V5!$C$8:$C$2345,C161)&gt;=1,"YES","NO")</f>
        <v>YES</v>
      </c>
      <c r="F161" s="4" t="str">
        <f aca="false">IFERROR(__xludf.dummyfunction("""COMPUTED_VALUE"""),"providing::clarification::intended::solution::design")</f>
        <v>providing::clarification::intended::solution::design</v>
      </c>
      <c r="G161" s="4" t="str">
        <f aca="false">IFERROR(__xludf.dummyfunction("""COMPUTED_VALUE"""),"faild::build")</f>
        <v>faild::build</v>
      </c>
      <c r="H161" s="4" t="str">
        <f aca="false">IFERROR(__xludf.dummyfunction("""COMPUTED_VALUE"""),"objecting::intended::refactoring::(naming)")</f>
        <v>objecting::intended::refactoring::(naming)</v>
      </c>
    </row>
    <row r="162" customFormat="false" ht="15.75" hidden="false" customHeight="false" outlineLevel="0" collapsed="false">
      <c r="A162" s="3" t="s">
        <v>1774</v>
      </c>
      <c r="B162" s="3" t="str">
        <f aca="false">IF(COUNTIF(Final_CB_R8_V5!$B$8:$B$20345,A162)&gt;=1,"YES","NO")</f>
        <v>YES</v>
      </c>
      <c r="C162" s="3" t="s">
        <v>1775</v>
      </c>
      <c r="D162" s="3" t="str">
        <f aca="false">IF(COUNTIF(Final_CB_R8_V5!$C$8:$C$2345,C162)&gt;=1,"YES","NO")</f>
        <v>YES</v>
      </c>
      <c r="F162" s="4" t="str">
        <f aca="false">IFERROR(__xludf.dummyfunction("""COMPUTED_VALUE"""),"raising::issue::(typo::comment)")</f>
        <v>raising::issue::(typo::comment)</v>
      </c>
      <c r="G162" s="4" t="str">
        <f aca="false">IFERROR(__xludf.dummyfunction("""COMPUTED_VALUE"""),"failed::tests")</f>
        <v>failed::tests</v>
      </c>
      <c r="H162" s="4" t="str">
        <f aca="false">IFERROR(__xludf.dummyfunction("""COMPUTED_VALUE"""),"objecting::providing::instructions::for::release::next:.development:.cycle")</f>
        <v>objecting::providing::instructions::for::release::next:.development:.cycle</v>
      </c>
    </row>
    <row r="163" customFormat="false" ht="15.75" hidden="false" customHeight="false" outlineLevel="0" collapsed="false">
      <c r="A163" s="3" t="s">
        <v>1662</v>
      </c>
      <c r="B163" s="3" t="str">
        <f aca="false">IF(COUNTIF(Final_CB_R8_V5!$B$8:$B$20345,A163)&gt;=1,"YES","NO")</f>
        <v>YES</v>
      </c>
      <c r="C163" s="3" t="s">
        <v>1776</v>
      </c>
      <c r="D163" s="3" t="str">
        <f aca="false">IF(COUNTIF(Final_CB_R8_V5!$C$8:$C$2345,C163)&gt;=1,"YES","NO")</f>
        <v>YES</v>
      </c>
      <c r="F163" s="4" t="str">
        <f aca="false">IFERROR(__xludf.dummyfunction("""COMPUTED_VALUE"""),"rebase::conflict")</f>
        <v>rebase::conflict</v>
      </c>
      <c r="G163" s="4" t="str">
        <f aca="false">IFERROR(__xludf.dummyfunction("""COMPUTED_VALUE"""),"failed::tests::(jenkins)")</f>
        <v>failed::tests::(jenkins)</v>
      </c>
      <c r="H163" s="4" t="str">
        <f aca="false">IFERROR(__xludf.dummyfunction("""COMPUTED_VALUE"""),"objecting::refactoring::(style)")</f>
        <v>objecting::refactoring::(style)</v>
      </c>
    </row>
    <row r="164" customFormat="false" ht="15.75" hidden="false" customHeight="false" outlineLevel="0" collapsed="false">
      <c r="A164" s="3" t="s">
        <v>1664</v>
      </c>
      <c r="B164" s="3" t="str">
        <f aca="false">IF(COUNTIF(Final_CB_R8_V5!$B$8:$B$20345,A164)&gt;=1,"YES","NO")</f>
        <v>YES</v>
      </c>
      <c r="C164" s="3" t="s">
        <v>1777</v>
      </c>
      <c r="D164" s="3" t="str">
        <f aca="false">IF(COUNTIF(Final_CB_R8_V5!$C$8:$C$2345,C164)&gt;=1,"YES","NO")</f>
        <v>YES</v>
      </c>
      <c r="F164" s="4" t="str">
        <f aca="false">IFERROR(__xludf.dummyfunction("""COMPUTED_VALUE"""),"referes::to::code::(gist)")</f>
        <v>referes::to::code::(gist)</v>
      </c>
      <c r="G164" s="4" t="str">
        <f aca="false">IFERROR(__xludf.dummyfunction("""COMPUTED_VALUE"""),"failed::tests::(temptest)")</f>
        <v>failed::tests::(temptest)</v>
      </c>
      <c r="H164" s="4" t="str">
        <f aca="false">IFERROR(__xludf.dummyfunction("""COMPUTED_VALUE"""),"objecting::suggestion::about::code::(no::need::of::code)")</f>
        <v>objecting::suggestion::about::code::(no::need::of::code)</v>
      </c>
    </row>
    <row r="165" customFormat="false" ht="15.75" hidden="false" customHeight="false" outlineLevel="0" collapsed="false">
      <c r="A165" s="3" t="s">
        <v>1672</v>
      </c>
      <c r="B165" s="3" t="str">
        <f aca="false">IF(COUNTIF(Final_CB_R8_V5!$B$8:$B$20345,A165)&gt;=1,"YES","NO")</f>
        <v>YES</v>
      </c>
      <c r="C165" s="3" t="s">
        <v>1778</v>
      </c>
      <c r="D165" s="3" t="str">
        <f aca="false">IF(COUNTIF(Final_CB_R8_V5!$C$8:$C$2345,C165)&gt;=1,"YES","NO")</f>
        <v>YES</v>
      </c>
      <c r="F165" s="4" t="str">
        <f aca="false">IFERROR(__xludf.dummyfunction("""COMPUTED_VALUE"""),"referes::to::code::(github)")</f>
        <v>referes::to::code::(github)</v>
      </c>
      <c r="G165" s="4" t="str">
        <f aca="false">IFERROR(__xludf.dummyfunction("""COMPUTED_VALUE"""),"failed::tests::(xenserver)")</f>
        <v>failed::tests::(xenserver)</v>
      </c>
      <c r="H165" s="4" t="str">
        <f aca="false">IFERROR(__xludf.dummyfunction("""COMPUTED_VALUE"""),"objecting::suggestion::change::(change::input::parameter)")</f>
        <v>objecting::suggestion::change::(change::input::parameter)</v>
      </c>
    </row>
    <row r="166" customFormat="false" ht="15.75" hidden="false" customHeight="false" outlineLevel="0" collapsed="false">
      <c r="A166" s="3" t="s">
        <v>1779</v>
      </c>
      <c r="B166" s="3" t="str">
        <f aca="false">IF(COUNTIF(Final_CB_R8_V5!$B$8:$B$20345,A166)&gt;=1,"YES","NO")</f>
        <v>YES</v>
      </c>
      <c r="C166" s="3" t="s">
        <v>1780</v>
      </c>
      <c r="D166" s="3" t="str">
        <f aca="false">IF(COUNTIF(Final_CB_R8_V5!$C$8:$C$2345,C166)&gt;=1,"YES","NO")</f>
        <v>YES</v>
      </c>
      <c r="F166" s="4" t="str">
        <f aca="false">IFERROR(__xludf.dummyfunction("""COMPUTED_VALUE"""),"referes::to::documentation")</f>
        <v>referes::to::documentation</v>
      </c>
      <c r="G166" s="4" t="str">
        <f aca="false">IFERROR(__xludf.dummyfunction("""COMPUTED_VALUE"""),"goal::of::blueprint::(improvement)")</f>
        <v>goal::of::blueprint::(improvement)</v>
      </c>
      <c r="H166" s="4" t="str">
        <f aca="false">IFERROR(__xludf.dummyfunction("""COMPUTED_VALUE"""),"objecting::suggestion::change::(design::access::modifiers)")</f>
        <v>objecting::suggestion::change::(design::access::modifiers)</v>
      </c>
    </row>
    <row r="167" customFormat="false" ht="15.75" hidden="false" customHeight="false" outlineLevel="0" collapsed="false">
      <c r="A167" s="3" t="s">
        <v>1781</v>
      </c>
      <c r="B167" s="3" t="str">
        <f aca="false">IF(COUNTIF(Final_CB_R8_V5!$B$8:$B$20345,A167)&gt;=1,"YES","NO")</f>
        <v>YES</v>
      </c>
      <c r="C167" s="3" t="s">
        <v>1782</v>
      </c>
      <c r="D167" s="3" t="str">
        <f aca="false">IF(COUNTIF(Final_CB_R8_V5!$C$8:$C$2345,C167)&gt;=1,"YES","NO")</f>
        <v>YES</v>
      </c>
      <c r="F167" s="4" t="str">
        <f aca="false">IFERROR(__xludf.dummyfunction("""COMPUTED_VALUE"""),"referes::to::email")</f>
        <v>referes::to::email</v>
      </c>
      <c r="G167" s="4" t="str">
        <f aca="false">IFERROR(__xludf.dummyfunction("""COMPUTED_VALUE"""),"highlights::importance::(for::specific::modules)")</f>
        <v>highlights::importance::(for::specific::modules)</v>
      </c>
      <c r="H167" s="4" t="str">
        <f aca="false">IFERROR(__xludf.dummyfunction("""COMPUTED_VALUE"""),"objecting::suggestion::change::(documentation::docstring)")</f>
        <v>objecting::suggestion::change::(documentation::docstring)</v>
      </c>
    </row>
    <row r="168" customFormat="false" ht="15.75" hidden="false" customHeight="false" outlineLevel="0" collapsed="false">
      <c r="A168" s="3" t="s">
        <v>1680</v>
      </c>
      <c r="B168" s="3" t="str">
        <f aca="false">IF(COUNTIF(Final_CB_R8_V5!$B$8:$B$20345,A168)&gt;=1,"YES","NO")</f>
        <v>YES</v>
      </c>
      <c r="C168" s="3" t="s">
        <v>1783</v>
      </c>
      <c r="D168" s="3" t="str">
        <f aca="false">IF(COUNTIF(Final_CB_R8_V5!$C$8:$C$2345,C168)&gt;=1,"YES","NO")</f>
        <v>YES</v>
      </c>
      <c r="F168" s="4" t="str">
        <f aca="false">IFERROR(__xludf.dummyfunction("""COMPUTED_VALUE"""),"referes::to::related::BP")</f>
        <v>referes::to::related::BP</v>
      </c>
      <c r="G168" s="4" t="str">
        <f aca="false">IFERROR(__xludf.dummyfunction("""COMPUTED_VALUE"""),"highlights::importance::(of::solution)")</f>
        <v>highlights::importance::(of::solution)</v>
      </c>
      <c r="H168" s="4" t="str">
        <f aca="false">IFERROR(__xludf.dummyfunction("""COMPUTED_VALUE"""),"objecting::suggestion::change::(move::logic)::with::code")</f>
        <v>objecting::suggestion::change::(move::logic)::with::code</v>
      </c>
    </row>
    <row r="169" customFormat="false" ht="15.75" hidden="false" customHeight="false" outlineLevel="0" collapsed="false">
      <c r="A169" s="3" t="s">
        <v>1784</v>
      </c>
      <c r="B169" s="3" t="str">
        <f aca="false">IF(COUNTIF(Final_CB_R8_V5!$B$8:$B$20345,A169)&gt;=1,"YES","NO")</f>
        <v>YES</v>
      </c>
      <c r="C169" s="3" t="s">
        <v>1785</v>
      </c>
      <c r="D169" s="3" t="str">
        <f aca="false">IF(COUNTIF(Final_CB_R8_V5!$C$8:$C$2345,C169)&gt;=1,"YES","NO")</f>
        <v>YES</v>
      </c>
      <c r="F169" s="4" t="str">
        <f aca="false">IFERROR(__xludf.dummyfunction("""COMPUTED_VALUE"""),"referes::to::related::bug")</f>
        <v>referes::to::related::bug</v>
      </c>
      <c r="G169" s="4" t="str">
        <f aca="false">IFERROR(__xludf.dummyfunction("""COMPUTED_VALUE"""),"informing::bad::practice")</f>
        <v>informing::bad::practice</v>
      </c>
      <c r="H169" s="4" t="str">
        <f aca="false">IFERROR(__xludf.dummyfunction("""COMPUTED_VALUE"""),"objecting::suggestion::change::(prevent::failure)")</f>
        <v>objecting::suggestion::change::(prevent::failure)</v>
      </c>
    </row>
    <row r="170" customFormat="false" ht="15.75" hidden="false" customHeight="false" outlineLevel="0" collapsed="false">
      <c r="A170" s="3" t="s">
        <v>1686</v>
      </c>
      <c r="B170" s="3" t="str">
        <f aca="false">IF(COUNTIF(Final_CB_R8_V5!$B$8:$B$20345,A170)&gt;=1,"YES","NO")</f>
        <v>YES</v>
      </c>
      <c r="C170" s="3" t="s">
        <v>1786</v>
      </c>
      <c r="D170" s="3" t="str">
        <f aca="false">IF(COUNTIF(Final_CB_R8_V5!$C$8:$C$2345,C170)&gt;=1,"YES","NO")</f>
        <v>YES</v>
      </c>
      <c r="F170" s="4" t="str">
        <f aca="false">IFERROR(__xludf.dummyfunction("""COMPUTED_VALUE"""),"referes::to::related::issue")</f>
        <v>referes::to::related::issue</v>
      </c>
      <c r="G170" s="4" t="str">
        <f aca="false">IFERROR(__xludf.dummyfunction("""COMPUTED_VALUE"""),"informing::cannot::provide::assistance::(more::tests)")</f>
        <v>informing::cannot::provide::assistance::(more::tests)</v>
      </c>
      <c r="H170" s="4" t="str">
        <f aca="false">IFERROR(__xludf.dummyfunction("""COMPUTED_VALUE"""),"objecting::suggestion::change::(tests::result::specific::case)")</f>
        <v>objecting::suggestion::change::(tests::result::specific::case)</v>
      </c>
    </row>
    <row r="171" customFormat="false" ht="15.75" hidden="false" customHeight="false" outlineLevel="0" collapsed="false">
      <c r="A171" s="3" t="s">
        <v>1688</v>
      </c>
      <c r="B171" s="3" t="str">
        <f aca="false">IF(COUNTIF(Final_CB_R8_V5!$B$8:$B$20345,A171)&gt;=1,"YES","NO")</f>
        <v>YES</v>
      </c>
      <c r="C171" s="3" t="s">
        <v>1787</v>
      </c>
      <c r="D171" s="3" t="str">
        <f aca="false">IF(COUNTIF(Final_CB_R8_V5!$C$8:$C$2345,C171)&gt;=1,"YES","NO")</f>
        <v>YES</v>
      </c>
      <c r="F171" s="4" t="str">
        <f aca="false">IFERROR(__xludf.dummyfunction("""COMPUTED_VALUE"""),"referes::to::related::review")</f>
        <v>referes::to::related::review</v>
      </c>
      <c r="G171" s="4" t="str">
        <f aca="false">IFERROR(__xludf.dummyfunction("""COMPUTED_VALUE"""),"informing::comments::addressed")</f>
        <v>informing::comments::addressed</v>
      </c>
      <c r="H171" s="4" t="str">
        <f aca="false">IFERROR(__xludf.dummyfunction("""COMPUTED_VALUE"""),"objecting::suggestion::change::(wrapp::with::exception)")</f>
        <v>objecting::suggestion::change::(wrapp::with::exception)</v>
      </c>
    </row>
    <row r="172" customFormat="false" ht="15.75" hidden="false" customHeight="false" outlineLevel="0" collapsed="false">
      <c r="A172" s="3" t="s">
        <v>1690</v>
      </c>
      <c r="B172" s="3" t="str">
        <f aca="false">IF(COUNTIF(Final_CB_R8_V5!$B$8:$B$20345,A172)&gt;=1,"YES","NO")</f>
        <v>YES</v>
      </c>
      <c r="C172" s="3" t="s">
        <v>1788</v>
      </c>
      <c r="D172" s="3" t="str">
        <f aca="false">IF(COUNTIF(Final_CB_R8_V5!$C$8:$C$2345,C172)&gt;=1,"YES","NO")</f>
        <v>YES</v>
      </c>
      <c r="F172" s="4" t="str">
        <f aca="false">IFERROR(__xludf.dummyfunction("""COMPUTED_VALUE"""),"refers::previous::comment")</f>
        <v>refers::previous::comment</v>
      </c>
      <c r="G172" s="4" t="str">
        <f aca="false">IFERROR(__xludf.dummyfunction("""COMPUTED_VALUE"""),"informing::dependency::(installed::package)")</f>
        <v>informing::dependency::(installed::package)</v>
      </c>
      <c r="H172" s="4" t="str">
        <f aca="false">IFERROR(__xludf.dummyfunction("""COMPUTED_VALUE"""),"objecting::suggestion::change::(wrong::logic)")</f>
        <v>objecting::suggestion::change::(wrong::logic)</v>
      </c>
    </row>
    <row r="173" customFormat="false" ht="15.75" hidden="false" customHeight="false" outlineLevel="0" collapsed="false">
      <c r="A173" s="3" t="s">
        <v>1789</v>
      </c>
      <c r="B173" s="3" t="str">
        <f aca="false">IF(COUNTIF(Final_CB_R8_V5!$B$8:$B$20345,A173)&gt;=1,"YES","NO")</f>
        <v>YES</v>
      </c>
      <c r="C173" s="3" t="s">
        <v>1790</v>
      </c>
      <c r="D173" s="3" t="str">
        <f aca="false">IF(COUNTIF(Final_CB_R8_V5!$C$8:$C$2345,C173)&gt;=1,"YES","NO")</f>
        <v>YES</v>
      </c>
      <c r="F173" s="4" t="str">
        <f aca="false">IFERROR(__xludf.dummyfunction("""COMPUTED_VALUE"""),"reminder::previous::comment")</f>
        <v>reminder::previous::comment</v>
      </c>
      <c r="G173" s="4" t="str">
        <f aca="false">IFERROR(__xludf.dummyfunction("""COMPUTED_VALUE"""),"informing::dependency::(requirement)")</f>
        <v>informing::dependency::(requirement)</v>
      </c>
      <c r="H173" s="4" t="str">
        <f aca="false">IFERROR(__xludf.dummyfunction("""COMPUTED_VALUE"""),"objecting::suggestion::rebase")</f>
        <v>objecting::suggestion::rebase</v>
      </c>
    </row>
    <row r="174" customFormat="false" ht="15.75" hidden="false" customHeight="false" outlineLevel="0" collapsed="false">
      <c r="A174" s="3" t="s">
        <v>1791</v>
      </c>
      <c r="B174" s="3" t="str">
        <f aca="false">IF(COUNTIF(Final_CB_R8_V5!$B$8:$B$20345,A174)&gt;=1,"YES","NO")</f>
        <v>YES</v>
      </c>
      <c r="C174" s="3" t="s">
        <v>1792</v>
      </c>
      <c r="D174" s="3" t="str">
        <f aca="false">IF(COUNTIF(Final_CB_R8_V5!$C$8:$C$2345,C174)&gt;=1,"YES","NO")</f>
        <v>YES</v>
      </c>
      <c r="F174" s="4" t="str">
        <f aca="false">IFERROR(__xludf.dummyfunction("""COMPUTED_VALUE"""),"reminder::todo")</f>
        <v>reminder::todo</v>
      </c>
      <c r="G174" s="4" t="str">
        <f aca="false">IFERROR(__xludf.dummyfunction("""COMPUTED_VALUE"""),"informing::existing::dependency::(another::review)")</f>
        <v>informing::existing::dependency::(another::review)</v>
      </c>
      <c r="H174" s="4" t="str">
        <f aca="false">IFERROR(__xludf.dummyfunction("""COMPUTED_VALUE"""),"objecting::suggestion::refactoring::(add::exception)")</f>
        <v>objecting::suggestion::refactoring::(add::exception)</v>
      </c>
    </row>
    <row r="175" customFormat="false" ht="15.75" hidden="false" customHeight="false" outlineLevel="0" collapsed="false">
      <c r="A175" s="3" t="s">
        <v>1696</v>
      </c>
      <c r="B175" s="3" t="str">
        <f aca="false">IF(COUNTIF(Final_CB_R8_V5!$B$8:$B$20345,A175)&gt;=1,"YES","NO")</f>
        <v>YES</v>
      </c>
      <c r="C175" s="3" t="s">
        <v>1793</v>
      </c>
      <c r="D175" s="3" t="str">
        <f aca="false">IF(COUNTIF(Final_CB_R8_V5!$C$8:$C$2345,C175)&gt;=1,"YES","NO")</f>
        <v>YES</v>
      </c>
      <c r="F175" s="4" t="str">
        <f aca="false">IFERROR(__xludf.dummyfunction("""COMPUTED_VALUE"""),"requesting::more::tests")</f>
        <v>requesting::more::tests</v>
      </c>
      <c r="G175" s="4" t="str">
        <f aca="false">IFERROR(__xludf.dummyfunction("""COMPUTED_VALUE"""),"informing::frustration::about::waiting::for::next::release")</f>
        <v>informing::frustration::about::waiting::for::next::release</v>
      </c>
      <c r="H175" s="4" t="str">
        <f aca="false">IFERROR(__xludf.dummyfunction("""COMPUTED_VALUE"""),"objecting::suggestion::refactoring::(change::data::structure)")</f>
        <v>objecting::suggestion::refactoring::(change::data::structure)</v>
      </c>
    </row>
    <row r="176" customFormat="false" ht="15.75" hidden="false" customHeight="false" outlineLevel="0" collapsed="false">
      <c r="A176" s="3" t="s">
        <v>1794</v>
      </c>
      <c r="B176" s="3" t="str">
        <f aca="false">IF(COUNTIF(Final_CB_R8_V5!$B$8:$B$20345,A176)&gt;=1,"YES","NO")</f>
        <v>YES</v>
      </c>
      <c r="C176" s="3" t="s">
        <v>1795</v>
      </c>
      <c r="D176" s="3" t="str">
        <f aca="false">IF(COUNTIF(Final_CB_R8_V5!$C$8:$C$2345,C176)&gt;=1,"YES","NO")</f>
        <v>YES</v>
      </c>
      <c r="F176" s="4" t="str">
        <f aca="false">IFERROR(__xludf.dummyfunction("""COMPUTED_VALUE"""),"requesting::more::tests::(coverage)")</f>
        <v>requesting::more::tests::(coverage)</v>
      </c>
      <c r="G176" s="4" t="str">
        <f aca="false">IFERROR(__xludf.dummyfunction("""COMPUTED_VALUE"""),"informing::issue::approved::(BP)")</f>
        <v>informing::issue::approved::(BP)</v>
      </c>
      <c r="H176" s="4" t="str">
        <f aca="false">IFERROR(__xludf.dummyfunction("""COMPUTED_VALUE"""),"objecting::suggestion::refactoring::(cleaner::code)::with::code")</f>
        <v>objecting::suggestion::refactoring::(cleaner::code)::with::code</v>
      </c>
    </row>
    <row r="177" customFormat="false" ht="15.75" hidden="false" customHeight="false" outlineLevel="0" collapsed="false">
      <c r="A177" s="3" t="s">
        <v>1697</v>
      </c>
      <c r="B177" s="3" t="str">
        <f aca="false">IF(COUNTIF(Final_CB_R8_V5!$B$8:$B$20345,A177)&gt;=1,"YES","NO")</f>
        <v>YES</v>
      </c>
      <c r="C177" s="3" t="s">
        <v>1796</v>
      </c>
      <c r="D177" s="3" t="str">
        <f aca="false">IF(COUNTIF(Final_CB_R8_V5!$C$8:$C$2345,C177)&gt;=1,"YES","NO")</f>
        <v>YES</v>
      </c>
      <c r="F177" s="4" t="str">
        <f aca="false">IFERROR(__xludf.dummyfunction("""COMPUTED_VALUE"""),"requesting::more::tests::(missing::case)")</f>
        <v>requesting::more::tests::(missing::case)</v>
      </c>
      <c r="G177" s="4" t="str">
        <f aca="false">IFERROR(__xludf.dummyfunction("""COMPUTED_VALUE"""),"informing::new::PR::with::different::target::branch")</f>
        <v>informing::new::PR::with::different::target::branch</v>
      </c>
      <c r="H177" s="4" t="str">
        <f aca="false">IFERROR(__xludf.dummyfunction("""COMPUTED_VALUE"""),"objecting::suggestion::refactoring::(extract::method)::with::code")</f>
        <v>objecting::suggestion::refactoring::(extract::method)::with::code</v>
      </c>
    </row>
    <row r="178" customFormat="false" ht="15.75" hidden="false" customHeight="false" outlineLevel="0" collapsed="false">
      <c r="A178" s="3" t="s">
        <v>1797</v>
      </c>
      <c r="B178" s="3" t="str">
        <f aca="false">IF(COUNTIF(Final_CB_R8_V5!$B$8:$B$20345,A178)&gt;=1,"YES","NO")</f>
        <v>YES</v>
      </c>
      <c r="C178" s="3" t="s">
        <v>1798</v>
      </c>
      <c r="D178" s="3" t="str">
        <f aca="false">IF(COUNTIF(Final_CB_R8_V5!$C$8:$C$2345,C178)&gt;=1,"YES","NO")</f>
        <v>YES</v>
      </c>
      <c r="F178" s="4" t="str">
        <f aca="false">IFERROR(__xludf.dummyfunction("""COMPUTED_VALUE"""),"requesting::reviews::from::others")</f>
        <v>requesting::reviews::from::others</v>
      </c>
      <c r="G178" s="4" t="str">
        <f aca="false">IFERROR(__xludf.dummyfunction("""COMPUTED_VALUE"""),"informing::preference::(changes::in::own/new::patch)")</f>
        <v>informing::preference::(changes::in::own/new::patch)</v>
      </c>
      <c r="H178" s="4" t="str">
        <f aca="false">IFERROR(__xludf.dummyfunction("""COMPUTED_VALUE"""),"objecting::suggestion::refactoring::(merge::methods)")</f>
        <v>objecting::suggestion::refactoring::(merge::methods)</v>
      </c>
    </row>
    <row r="179" customFormat="false" ht="15.75" hidden="false" customHeight="false" outlineLevel="0" collapsed="false">
      <c r="A179" s="3" t="s">
        <v>1799</v>
      </c>
      <c r="B179" s="3" t="str">
        <f aca="false">IF(COUNTIF(Final_CB_R8_V5!$B$8:$B$20345,A179)&gt;=1,"YES","NO")</f>
        <v>YES</v>
      </c>
      <c r="C179" s="3" t="s">
        <v>1800</v>
      </c>
      <c r="D179" s="3" t="str">
        <f aca="false">IF(COUNTIF(Final_CB_R8_V5!$C$8:$C$2345,C179)&gt;=1,"YES","NO")</f>
        <v>YES</v>
      </c>
      <c r="F179" s="4" t="str">
        <f aca="false">IFERROR(__xludf.dummyfunction("""COMPUTED_VALUE"""),"retracting::objecting::code::(need::of::config::parameters)")</f>
        <v>retracting::objecting::code::(need::of::config::parameters)</v>
      </c>
      <c r="G179" s="4" t="str">
        <f aca="false">IFERROR(__xludf.dummyfunction("""COMPUTED_VALUE"""),"informing::ready::for::review")</f>
        <v>informing::ready::for::review</v>
      </c>
      <c r="H179" s="4" t="str">
        <f aca="false">IFERROR(__xludf.dummyfunction("""COMPUTED_VALUE"""),"objecting::suggestion::refactoring::(not::use::mock::object)")</f>
        <v>objecting::suggestion::refactoring::(not::use::mock::object)</v>
      </c>
    </row>
    <row r="180" customFormat="false" ht="15.75" hidden="false" customHeight="false" outlineLevel="0" collapsed="false">
      <c r="A180" s="3" t="s">
        <v>1801</v>
      </c>
      <c r="B180" s="3" t="str">
        <f aca="false">IF(COUNTIF(Final_CB_R8_V5!$B$8:$B$20345,A180)&gt;=1,"YES","NO")</f>
        <v>YES</v>
      </c>
      <c r="C180" s="3" t="s">
        <v>1802</v>
      </c>
      <c r="D180" s="3" t="str">
        <f aca="false">IF(COUNTIF(Final_CB_R8_V5!$C$8:$C$2345,C180)&gt;=1,"YES","NO")</f>
        <v>YES</v>
      </c>
      <c r="F180" s="4" t="str">
        <f aca="false">IFERROR(__xludf.dummyfunction("""COMPUTED_VALUE"""),"retracting::suggestion::change::(class::to::static)")</f>
        <v>retracting::suggestion::change::(class::to::static)</v>
      </c>
      <c r="G180" s="4" t="str">
        <f aca="false">IFERROR(__xludf.dummyfunction("""COMPUTED_VALUE"""),"informing::recheck::(hyper-v)")</f>
        <v>informing::recheck::(hyper-v)</v>
      </c>
      <c r="H180" s="4" t="str">
        <f aca="false">IFERROR(__xludf.dummyfunction("""COMPUTED_VALUE"""),"objecting::suggestion::refactoring::(style)::what::to::import")</f>
        <v>objecting::suggestion::refactoring::(style)::what::to::import</v>
      </c>
    </row>
    <row r="181" customFormat="false" ht="15.75" hidden="false" customHeight="false" outlineLevel="0" collapsed="false">
      <c r="A181" s="3" t="s">
        <v>1703</v>
      </c>
      <c r="B181" s="3" t="str">
        <f aca="false">IF(COUNTIF(Final_CB_R8_V5!$B$8:$B$20345,A181)&gt;=1,"YES","NO")</f>
        <v>YES</v>
      </c>
      <c r="C181" s="3" t="s">
        <v>1803</v>
      </c>
      <c r="D181" s="3" t="str">
        <f aca="false">IF(COUNTIF(Final_CB_R8_V5!$C$8:$C$2345,C181)&gt;=1,"YES","NO")</f>
        <v>YES</v>
      </c>
      <c r="F181" s="4" t="str">
        <f aca="false">IFERROR(__xludf.dummyfunction("""COMPUTED_VALUE"""),"retracting::suggestion::refactoring::(style)")</f>
        <v>retracting::suggestion::refactoring::(style)</v>
      </c>
      <c r="G181" s="4" t="str">
        <f aca="false">IFERROR(__xludf.dummyfunction("""COMPUTED_VALUE"""),"informing::recheck::(specific::bug)")</f>
        <v>informing::recheck::(specific::bug)</v>
      </c>
      <c r="H181" s="4" t="str">
        <f aca="false">IFERROR(__xludf.dummyfunction("""COMPUTED_VALUE"""),"objecting::suggestion::refactoring::(type::exception)")</f>
        <v>objecting::suggestion::refactoring::(type::exception)</v>
      </c>
    </row>
    <row r="182" customFormat="false" ht="15.75" hidden="false" customHeight="false" outlineLevel="0" collapsed="false">
      <c r="A182" s="3" t="s">
        <v>1709</v>
      </c>
      <c r="B182" s="3" t="str">
        <f aca="false">IF(COUNTIF(Final_CB_R8_V5!$B$8:$B$20345,A182)&gt;=1,"YES","NO")</f>
        <v>YES</v>
      </c>
      <c r="C182" s="3" t="s">
        <v>1804</v>
      </c>
      <c r="D182" s="3" t="str">
        <f aca="false">IF(COUNTIF(Final_CB_R8_V5!$C$8:$C$2345,C182)&gt;=1,"YES","NO")</f>
        <v>YES</v>
      </c>
      <c r="F182" s="4" t="str">
        <f aca="false">IFERROR(__xludf.dummyfunction("""COMPUTED_VALUE"""),"review::restored::after::abandoned")</f>
        <v>review::restored::after::abandoned</v>
      </c>
      <c r="G182" s="4" t="str">
        <f aca="false">IFERROR(__xludf.dummyfunction("""COMPUTED_VALUE"""),"informing::refactoring::(style)")</f>
        <v>informing::refactoring::(style)</v>
      </c>
      <c r="H182" s="4" t="str">
        <f aca="false">IFERROR(__xludf.dummyfunction("""COMPUTED_VALUE"""),"objecting::suggestion::refactoring::(wrapper)")</f>
        <v>objecting::suggestion::refactoring::(wrapper)</v>
      </c>
    </row>
    <row r="183" customFormat="false" ht="15.75" hidden="false" customHeight="false" outlineLevel="0" collapsed="false">
      <c r="A183" s="3" t="s">
        <v>1805</v>
      </c>
      <c r="B183" s="3" t="str">
        <f aca="false">IF(COUNTIF(Final_CB_R8_V5!$B$8:$B$20345,A183)&gt;=1,"YES","NO")</f>
        <v>YES</v>
      </c>
      <c r="C183" s="3" t="s">
        <v>494</v>
      </c>
      <c r="D183" s="3" t="str">
        <f aca="false">IF(COUNTIF(Final_CB_R8_V5!$C$8:$C$2345,C183)&gt;=1,"YES","NO")</f>
        <v>YES</v>
      </c>
      <c r="F183" s="4" t="str">
        <f aca="false">IFERROR(__xludf.dummyfunction("""COMPUTED_VALUE"""),"review::restored::after::abandoned2")</f>
        <v>review::restored::after::abandoned2</v>
      </c>
      <c r="G183" s="4" t="str">
        <f aca="false">IFERROR(__xludf.dummyfunction("""COMPUTED_VALUE"""),"informing::reverify")</f>
        <v>informing::reverify</v>
      </c>
      <c r="H183" s="4" t="str">
        <f aca="false">IFERROR(__xludf.dummyfunction("""COMPUTED_VALUE"""),"objecting::the::categorization::of::issue::as::bug")</f>
        <v>objecting::the::categorization::of::issue::as::bug</v>
      </c>
    </row>
    <row r="184" customFormat="false" ht="15.75" hidden="false" customHeight="false" outlineLevel="0" collapsed="false">
      <c r="A184" s="3" t="s">
        <v>1717</v>
      </c>
      <c r="B184" s="3" t="str">
        <f aca="false">IF(COUNTIF(Final_CB_R8_V5!$B$8:$B$20345,A184)&gt;=1,"YES","NO")</f>
        <v>YES</v>
      </c>
      <c r="C184" s="3" t="s">
        <v>1806</v>
      </c>
      <c r="D184" s="3" t="str">
        <f aca="false">IF(COUNTIF(Final_CB_R8_V5!$C$8:$C$2345,C184)&gt;=1,"YES","NO")</f>
        <v>YES</v>
      </c>
      <c r="F184" s="4" t="str">
        <f aca="false">IFERROR(__xludf.dummyfunction("""COMPUTED_VALUE"""),"review::restored::after::abandoned3")</f>
        <v>review::restored::after::abandoned3</v>
      </c>
      <c r="G184" s="4" t="str">
        <f aca="false">IFERROR(__xludf.dummyfunction("""COMPUTED_VALUE"""),"informing::reversing::changes")</f>
        <v>informing::reversing::changes</v>
      </c>
      <c r="H184" s="4" t="str">
        <f aca="false">IFERROR(__xludf.dummyfunction("""COMPUTED_VALUE"""),"providing:.advice::refactoring::(conditional::with::interface)")</f>
        <v>providing:.advice::refactoring::(conditional::with::interface)</v>
      </c>
    </row>
    <row r="185" customFormat="false" ht="15.75" hidden="false" customHeight="false" outlineLevel="0" collapsed="false">
      <c r="A185" s="3" t="s">
        <v>1807</v>
      </c>
      <c r="B185" s="3" t="str">
        <f aca="false">IF(COUNTIF(Final_CB_R8_V5!$B$8:$B$20345,A185)&gt;=1,"YES","NO")</f>
        <v>YES</v>
      </c>
      <c r="C185" s="3" t="s">
        <v>1808</v>
      </c>
      <c r="D185" s="3" t="str">
        <f aca="false">IF(COUNTIF(Final_CB_R8_V5!$C$8:$C$2345,C185)&gt;=1,"YES","NO")</f>
        <v>YES</v>
      </c>
      <c r="F185" s="4" t="str">
        <f aca="false">IFERROR(__xludf.dummyfunction("""COMPUTED_VALUE"""),"security::impact::mentioned")</f>
        <v>security::impact::mentioned</v>
      </c>
      <c r="G185" s="4" t="str">
        <f aca="false">IFERROR(__xludf.dummyfunction("""COMPUTED_VALUE"""),"informing::review::expired")</f>
        <v>informing::review::expired</v>
      </c>
      <c r="H185" s="4" t="str">
        <f aca="false">IFERROR(__xludf.dummyfunction("""COMPUTED_VALUE"""),"providing:.clarification::about::the::reason::error::unit::test")</f>
        <v>providing:.clarification::about::the::reason::error::unit::test</v>
      </c>
    </row>
    <row r="186" customFormat="false" ht="15.75" hidden="false" customHeight="false" outlineLevel="0" collapsed="false">
      <c r="A186" s="3" t="s">
        <v>1809</v>
      </c>
      <c r="B186" s="3" t="str">
        <f aca="false">IF(COUNTIF(Final_CB_R8_V5!$B$8:$B$20345,A186)&gt;=1,"YES","NO")</f>
        <v>YES</v>
      </c>
      <c r="C186" s="3" t="s">
        <v>1810</v>
      </c>
      <c r="D186" s="3" t="str">
        <f aca="false">IF(COUNTIF(Final_CB_R8_V5!$C$8:$C$2345,C186)&gt;=1,"YES","NO")</f>
        <v>YES</v>
      </c>
      <c r="F186" s="4" t="str">
        <f aca="false">IFERROR(__xludf.dummyfunction("""COMPUTED_VALUE"""),"split::patches")</f>
        <v>split::patches</v>
      </c>
      <c r="G186" s="4" t="str">
        <f aca="false">IFERROR(__xludf.dummyfunction("""COMPUTED_VALUE"""),"informing::run::tests")</f>
        <v>informing::run::tests</v>
      </c>
      <c r="H186" s="4" t="str">
        <f aca="false">IFERROR(__xludf.dummyfunction("""COMPUTED_VALUE"""),"providing:.clarification::on::broken::functionallity::after::submitting::changes::(how::was::it::fixed)")</f>
        <v>providing:.clarification::on::broken::functionallity::after::submitting::changes::(how::was::it::fixed)</v>
      </c>
    </row>
    <row r="187" customFormat="false" ht="15.75" hidden="false" customHeight="false" outlineLevel="0" collapsed="false">
      <c r="A187" s="3" t="s">
        <v>1719</v>
      </c>
      <c r="B187" s="3" t="str">
        <f aca="false">IF(COUNTIF(Final_CB_R8_V5!$B$8:$B$20345,A187)&gt;=1,"YES","NO")</f>
        <v>YES</v>
      </c>
      <c r="C187" s="3" t="s">
        <v>1811</v>
      </c>
      <c r="D187" s="3" t="str">
        <f aca="false">IF(COUNTIF(Final_CB_R8_V5!$C$8:$C$2345,C187)&gt;=1,"YES","NO")</f>
        <v>YES</v>
      </c>
      <c r="F187" s="4" t="str">
        <f aca="false">IFERROR(__xludf.dummyfunction("""COMPUTED_VALUE"""),"suggestion::change::(add::documentation)")</f>
        <v>suggestion::change::(add::documentation)</v>
      </c>
      <c r="G187" s="4" t="str">
        <f aca="false">IFERROR(__xludf.dummyfunction("""COMPUTED_VALUE"""),"informing::run::tests::(passed)")</f>
        <v>informing::run::tests::(passed)</v>
      </c>
      <c r="H187" s="4" t="str">
        <f aca="false">IFERROR(__xludf.dummyfunction("""COMPUTED_VALUE"""),"providing:.clarification::on::broken::functionallity::after::submitting::changes::(what::happened)")</f>
        <v>providing:.clarification::on::broken::functionallity::after::submitting::changes::(what::happened)</v>
      </c>
    </row>
    <row r="188" customFormat="false" ht="15.75" hidden="false" customHeight="false" outlineLevel="0" collapsed="false">
      <c r="A188" s="3" t="s">
        <v>1812</v>
      </c>
      <c r="B188" s="3" t="str">
        <f aca="false">IF(COUNTIF(Final_CB_R8_V5!$B$8:$B$20345,A188)&gt;=1,"YES","NO")</f>
        <v>YES</v>
      </c>
      <c r="C188" s="3" t="s">
        <v>1813</v>
      </c>
      <c r="D188" s="3" t="str">
        <f aca="false">IF(COUNTIF(Final_CB_R8_V5!$C$8:$C$2345,C188)&gt;=1,"YES","NO")</f>
        <v>YES</v>
      </c>
      <c r="F188" s="4" t="str">
        <f aca="false">IFERROR(__xludf.dummyfunction("""COMPUTED_VALUE"""),"suggestion::change::(add::inline::documentation)")</f>
        <v>suggestion::change::(add::inline::documentation)</v>
      </c>
      <c r="G188" s="4" t="str">
        <f aca="false">IFERROR(__xludf.dummyfunction("""COMPUTED_VALUE"""),"informing::solution::not::ideal")</f>
        <v>informing::solution::not::ideal</v>
      </c>
      <c r="H188" s="4" t="str">
        <f aca="false">IFERROR(__xludf.dummyfunction("""COMPUTED_VALUE"""),"providing::advice::about::changes::(verify::correctness)")</f>
        <v>providing::advice::about::changes::(verify::correctness)</v>
      </c>
    </row>
    <row r="189" customFormat="false" ht="15.75" hidden="false" customHeight="false" outlineLevel="0" collapsed="false">
      <c r="A189" s="3" t="s">
        <v>1814</v>
      </c>
      <c r="B189" s="3" t="str">
        <f aca="false">IF(COUNTIF(Final_CB_R8_V5!$B$8:$B$20345,A189)&gt;=1,"YES","NO")</f>
        <v>YES</v>
      </c>
      <c r="C189" s="3" t="s">
        <v>1815</v>
      </c>
      <c r="D189" s="3" t="str">
        <f aca="false">IF(COUNTIF(Final_CB_R8_V5!$C$8:$C$2345,C189)&gt;=1,"YES","NO")</f>
        <v>YES</v>
      </c>
      <c r="F189" s="4" t="str">
        <f aca="false">IFERROR(__xludf.dummyfunction("""COMPUTED_VALUE"""),"suggestion::change::(architecture)")</f>
        <v>suggestion::change::(architecture)</v>
      </c>
      <c r="G189" s="4" t="str">
        <f aca="false">IFERROR(__xludf.dummyfunction("""COMPUTED_VALUE"""),"informing::tests::added")</f>
        <v>informing::tests::added</v>
      </c>
      <c r="H189" s="4" t="str">
        <f aca="false">IFERROR(__xludf.dummyfunction("""COMPUTED_VALUE"""),"providing::advice::about::code::(a::different::approach::than::existing::one)")</f>
        <v>providing::advice::about::code::(a::different::approach::than::existing::one)</v>
      </c>
    </row>
    <row r="190" customFormat="false" ht="15.75" hidden="false" customHeight="false" outlineLevel="0" collapsed="false">
      <c r="A190" s="3" t="s">
        <v>1816</v>
      </c>
      <c r="B190" s="3" t="str">
        <f aca="false">IF(COUNTIF(Final_CB_R8_V5!$B$8:$B$20345,A190)&gt;=1,"YES","NO")</f>
        <v>YES</v>
      </c>
      <c r="C190" s="3" t="s">
        <v>1817</v>
      </c>
      <c r="D190" s="3" t="str">
        <f aca="false">IF(COUNTIF(Final_CB_R8_V5!$C$8:$C$2345,C190)&gt;=1,"YES","NO")</f>
        <v>YES</v>
      </c>
      <c r="F190" s="4" t="str">
        <f aca="false">IFERROR(__xludf.dummyfunction("""COMPUTED_VALUE"""),"suggestion::change::(backwards::compatebility)")</f>
        <v>suggestion::change::(backwards::compatebility)</v>
      </c>
      <c r="G190" s="4" t="str">
        <f aca="false">IFERROR(__xludf.dummyfunction("""COMPUTED_VALUE"""),"informing::tests::failing")</f>
        <v>informing::tests::failing</v>
      </c>
      <c r="H190" s="4" t="str">
        <f aca="false">IFERROR(__xludf.dummyfunction("""COMPUTED_VALUE"""),"providing::advice::about::code::(reason::of::changing::code)")</f>
        <v>providing::advice::about::code::(reason::of::changing::code)</v>
      </c>
    </row>
    <row r="191" customFormat="false" ht="15.75" hidden="false" customHeight="false" outlineLevel="0" collapsed="false">
      <c r="A191" s="3" t="s">
        <v>1818</v>
      </c>
      <c r="B191" s="3" t="str">
        <f aca="false">IF(COUNTIF(Final_CB_R8_V5!$B$8:$B$20345,A191)&gt;=1,"YES","NO")</f>
        <v>YES</v>
      </c>
      <c r="C191" s="3" t="s">
        <v>1819</v>
      </c>
      <c r="D191" s="3" t="str">
        <f aca="false">IF(COUNTIF(Final_CB_R8_V5!$C$8:$C$2345,C191)&gt;=1,"YES","NO")</f>
        <v>YES</v>
      </c>
      <c r="F191" s="4" t="str">
        <f aca="false">IFERROR(__xludf.dummyfunction("""COMPUTED_VALUE"""),"suggestion::change::(change::method)")</f>
        <v>suggestion::change::(change::method)</v>
      </c>
      <c r="G191" s="4" t="str">
        <f aca="false">IFERROR(__xludf.dummyfunction("""COMPUTED_VALUE"""),"informing::tests::passing")</f>
        <v>informing::tests::passing</v>
      </c>
      <c r="H191" s="4" t="str">
        <f aca="false">IFERROR(__xludf.dummyfunction("""COMPUTED_VALUE"""),"providing::advice::about::code::and::documentation::(functionallity)")</f>
        <v>providing::advice::about::code::and::documentation::(functionallity)</v>
      </c>
    </row>
    <row r="192" customFormat="false" ht="15.75" hidden="false" customHeight="false" outlineLevel="0" collapsed="false">
      <c r="A192" s="3" t="s">
        <v>411</v>
      </c>
      <c r="B192" s="3" t="str">
        <f aca="false">IF(COUNTIF(Final_CB_R8_V5!$B$8:$B$20345,A192)&gt;=1,"YES","NO")</f>
        <v>YES</v>
      </c>
      <c r="C192" s="3" t="s">
        <v>1820</v>
      </c>
      <c r="D192" s="3" t="str">
        <f aca="false">IF(COUNTIF(Final_CB_R8_V5!$C$8:$C$2345,C192)&gt;=1,"YES","NO")</f>
        <v>YES</v>
      </c>
      <c r="F192" s="4" t="str">
        <f aca="false">IFERROR(__xludf.dummyfunction("""COMPUTED_VALUE"""),"suggestion::change::(change::type)")</f>
        <v>suggestion::change::(change::type)</v>
      </c>
      <c r="G192" s="4" t="str">
        <f aca="false">IFERROR(__xludf.dummyfunction("""COMPUTED_VALUE"""),"informing::work::in::progress")</f>
        <v>informing::work::in::progress</v>
      </c>
      <c r="H192" s="4" t="str">
        <f aca="false">IFERROR(__xludf.dummyfunction("""COMPUTED_VALUE"""),"providing::advice::about::suggestion::change::current::approach::(change::for::different::api::version)")</f>
        <v>providing::advice::about::suggestion::change::current::approach::(change::for::different::api::version)</v>
      </c>
    </row>
    <row r="193" customFormat="false" ht="15.75" hidden="false" customHeight="false" outlineLevel="0" collapsed="false">
      <c r="A193" s="3" t="s">
        <v>1727</v>
      </c>
      <c r="B193" s="3" t="str">
        <f aca="false">IF(COUNTIF(Final_CB_R8_V5!$B$8:$B$20345,A193)&gt;=1,"YES","NO")</f>
        <v>YES</v>
      </c>
      <c r="C193" s="3" t="s">
        <v>1821</v>
      </c>
      <c r="D193" s="3" t="str">
        <f aca="false">IF(COUNTIF(Final_CB_R8_V5!$C$8:$C$2345,C193)&gt;=1,"YES","NO")</f>
        <v>YES</v>
      </c>
      <c r="F193" s="4" t="str">
        <f aca="false">IFERROR(__xludf.dummyfunction("""COMPUTED_VALUE"""),"suggestion::change::(class::to::static)")</f>
        <v>suggestion::change::(class::to::static)</v>
      </c>
      <c r="G193" s="4" t="str">
        <f aca="false">IFERROR(__xludf.dummyfunction("""COMPUTED_VALUE"""),"informing::wrong::place::for::discussion")</f>
        <v>informing::wrong::place::for::discussion</v>
      </c>
      <c r="H193" s="4" t="str">
        <f aca="false">IFERROR(__xludf.dummyfunction("""COMPUTED_VALUE"""),"providing::advice::about::suggestion::refactoring::(style::removing::unnecessary::newline)")</f>
        <v>providing::advice::about::suggestion::refactoring::(style::removing::unnecessary::newline)</v>
      </c>
    </row>
    <row r="194" customFormat="false" ht="15.75" hidden="false" customHeight="false" outlineLevel="0" collapsed="false">
      <c r="A194" s="3" t="s">
        <v>1729</v>
      </c>
      <c r="B194" s="3" t="str">
        <f aca="false">IF(COUNTIF(Final_CB_R8_V5!$B$8:$B$20345,A194)&gt;=1,"YES","NO")</f>
        <v>YES</v>
      </c>
      <c r="C194" s="3" t="s">
        <v>1822</v>
      </c>
      <c r="D194" s="3" t="str">
        <f aca="false">IF(COUNTIF(Final_CB_R8_V5!$C$8:$C$2345,C194)&gt;=1,"YES","NO")</f>
        <v>YES</v>
      </c>
      <c r="F194" s="4" t="str">
        <f aca="false">IFERROR(__xludf.dummyfunction("""COMPUTED_VALUE"""),"suggestion::change::(database::models)")</f>
        <v>suggestion::change::(database::models)</v>
      </c>
      <c r="G194" s="4" t="str">
        <f aca="false">IFERROR(__xludf.dummyfunction("""COMPUTED_VALUE"""),"mentions::PR::target")</f>
        <v>mentions::PR::target</v>
      </c>
      <c r="H194" s="4" t="str">
        <f aca="false">IFERROR(__xludf.dummyfunction("""COMPUTED_VALUE"""),"providing::advice::developing::process::(need::to::file::BP)")</f>
        <v>providing::advice::developing::process::(need::to::file::BP)</v>
      </c>
    </row>
    <row r="195" customFormat="false" ht="15.75" hidden="false" customHeight="false" outlineLevel="0" collapsed="false">
      <c r="A195" s="3" t="s">
        <v>1730</v>
      </c>
      <c r="B195" s="3" t="str">
        <f aca="false">IF(COUNTIF(Final_CB_R8_V5!$B$8:$B$20345,A195)&gt;=1,"YES","NO")</f>
        <v>YES</v>
      </c>
      <c r="C195" s="3" t="s">
        <v>1823</v>
      </c>
      <c r="D195" s="3" t="str">
        <f aca="false">IF(COUNTIF(Final_CB_R8_V5!$C$8:$C$2345,C195)&gt;=1,"YES","NO")</f>
        <v>YES</v>
      </c>
      <c r="F195" s="4" t="str">
        <f aca="false">IFERROR(__xludf.dummyfunction("""COMPUTED_VALUE"""),"suggestion::change::(documentation)")</f>
        <v>suggestion::change::(documentation)</v>
      </c>
      <c r="G195" s="4" t="str">
        <f aca="false">IFERROR(__xludf.dummyfunction("""COMPUTED_VALUE"""),"minor::changes::required::for::submitting::(comments::added::elsewhere)")</f>
        <v>minor::changes::required::for::submitting::(comments::added::elsewhere)</v>
      </c>
      <c r="H195" s="4" t="str">
        <f aca="false">IFERROR(__xludf.dummyfunction("""COMPUTED_VALUE"""),"providing::advice::developing::process::(relate::a::BP::or::bug::with::commit)")</f>
        <v>providing::advice::developing::process::(relate::a::BP::or::bug::with::commit)</v>
      </c>
    </row>
    <row r="196" customFormat="false" ht="15.75" hidden="false" customHeight="false" outlineLevel="0" collapsed="false">
      <c r="A196" s="3" t="s">
        <v>1824</v>
      </c>
      <c r="B196" s="3" t="str">
        <f aca="false">IF(COUNTIF(Final_CB_R8_V5!$B$8:$B$20345,A196)&gt;=1,"YES","NO")</f>
        <v>YES</v>
      </c>
      <c r="C196" s="3" t="s">
        <v>1825</v>
      </c>
      <c r="D196" s="3" t="str">
        <f aca="false">IF(COUNTIF(Final_CB_R8_V5!$C$8:$C$2345,C196)&gt;=1,"YES","NO")</f>
        <v>YES</v>
      </c>
      <c r="F196" s="4" t="str">
        <f aca="false">IFERROR(__xludf.dummyfunction("""COMPUTED_VALUE"""),"suggestion::change::(documentation::docstring)")</f>
        <v>suggestion::change::(documentation::docstring)</v>
      </c>
      <c r="G196" s="4" t="str">
        <f aca="false">IFERROR(__xludf.dummyfunction("""COMPUTED_VALUE"""),"need::CI")</f>
        <v>need::CI</v>
      </c>
      <c r="H196" s="4" t="str">
        <f aca="false">IFERROR(__xludf.dummyfunction("""COMPUTED_VALUE"""),"providing::advice::how::to::develop::(standards)")</f>
        <v>providing::advice::how::to::develop::(standards)</v>
      </c>
    </row>
    <row r="197" customFormat="false" ht="15.75" hidden="false" customHeight="false" outlineLevel="0" collapsed="false">
      <c r="A197" s="3" t="s">
        <v>1826</v>
      </c>
      <c r="B197" s="3" t="str">
        <f aca="false">IF(COUNTIF(Final_CB_R8_V5!$B$8:$B$20345,A197)&gt;=1,"YES","NO")</f>
        <v>YES</v>
      </c>
      <c r="C197" s="3" t="s">
        <v>1827</v>
      </c>
      <c r="D197" s="3" t="str">
        <f aca="false">IF(COUNTIF(Final_CB_R8_V5!$C$8:$C$2345,C197)&gt;=1,"YES","NO")</f>
        <v>YES</v>
      </c>
      <c r="F197" s="4" t="str">
        <f aca="false">IFERROR(__xludf.dummyfunction("""COMPUTED_VALUE"""),"suggestion::change::(exception::type)")</f>
        <v>suggestion::change::(exception::type)</v>
      </c>
      <c r="G197" s="4" t="str">
        <f aca="false">IFERROR(__xludf.dummyfunction("""COMPUTED_VALUE"""),"no::score")</f>
        <v>no::score</v>
      </c>
      <c r="H197" s="4" t="str">
        <f aca="false">IFERROR(__xludf.dummyfunction("""COMPUTED_VALUE"""),"providing::advice::how::to::fix::(alternative::solution)")</f>
        <v>providing::advice::how::to::fix::(alternative::solution)</v>
      </c>
    </row>
    <row r="198" customFormat="false" ht="15.75" hidden="false" customHeight="false" outlineLevel="0" collapsed="false">
      <c r="A198" s="3" t="s">
        <v>1828</v>
      </c>
      <c r="B198" s="3" t="str">
        <f aca="false">IF(COUNTIF(Final_CB_R8_V5!$B$8:$B$20345,A198)&gt;=1,"YES","NO")</f>
        <v>YES</v>
      </c>
      <c r="C198" s="3" t="s">
        <v>1829</v>
      </c>
      <c r="D198" s="3" t="str">
        <f aca="false">IF(COUNTIF(Final_CB_R8_V5!$C$8:$C$2345,C198)&gt;=1,"YES","NO")</f>
        <v>YES</v>
      </c>
      <c r="F198" s="4" t="str">
        <f aca="false">IFERROR(__xludf.dummyfunction("""COMPUTED_VALUE"""),"suggestion::change::(functionallity)")</f>
        <v>suggestion::change::(functionallity)</v>
      </c>
      <c r="G198" s="4" t="str">
        <f aca="false">IFERROR(__xludf.dummyfunction("""COMPUTED_VALUE"""),"not::approval::for::submitting1")</f>
        <v>not::approval::for::submitting1</v>
      </c>
      <c r="H198" s="4" t="str">
        <f aca="false">IFERROR(__xludf.dummyfunction("""COMPUTED_VALUE"""),"providing::advice::how::to::fix::failures")</f>
        <v>providing::advice::how::to::fix::failures</v>
      </c>
    </row>
    <row r="199" customFormat="false" ht="15.75" hidden="false" customHeight="false" outlineLevel="0" collapsed="false">
      <c r="A199" s="3" t="s">
        <v>1830</v>
      </c>
      <c r="B199" s="3" t="str">
        <f aca="false">IF(COUNTIF(Final_CB_R8_V5!$B$8:$B$20345,A199)&gt;=1,"YES","NO")</f>
        <v>YES</v>
      </c>
      <c r="C199" s="3" t="s">
        <v>1831</v>
      </c>
      <c r="D199" s="3" t="str">
        <f aca="false">IF(COUNTIF(Final_CB_R8_V5!$C$8:$C$2345,C199)&gt;=1,"YES","NO")</f>
        <v>YES</v>
      </c>
      <c r="F199" s="4" t="str">
        <f aca="false">IFERROR(__xludf.dummyfunction("""COMPUTED_VALUE"""),"suggestion::change::(input::parameter)")</f>
        <v>suggestion::change::(input::parameter)</v>
      </c>
      <c r="G199" s="4" t="str">
        <f aca="false">IFERROR(__xludf.dummyfunction("""COMPUTED_VALUE"""),"not::approval::for::submitting::(vote1)")</f>
        <v>not::approval::for::submitting::(vote1)</v>
      </c>
      <c r="H199" s="4" t="str">
        <f aca="false">IFERROR(__xludf.dummyfunction("""COMPUTED_VALUE"""),"providing::advice::how::to::fix::failures::(avoid::shutdown)")</f>
        <v>providing::advice::how::to::fix::failures::(avoid::shutdown)</v>
      </c>
    </row>
    <row r="200" customFormat="false" ht="15.75" hidden="false" customHeight="false" outlineLevel="0" collapsed="false">
      <c r="A200" s="3" t="s">
        <v>1832</v>
      </c>
      <c r="B200" s="3" t="str">
        <f aca="false">IF(COUNTIF(Final_CB_R8_V5!$B$8:$B$20345,A200)&gt;=1,"YES","NO")</f>
        <v>YES</v>
      </c>
      <c r="C200" s="3" t="s">
        <v>1833</v>
      </c>
      <c r="D200" s="3" t="str">
        <f aca="false">IF(COUNTIF(Final_CB_R8_V5!$C$8:$C$2345,C200)&gt;=1,"YES","NO")</f>
        <v>YES</v>
      </c>
      <c r="F200" s="4" t="str">
        <f aca="false">IFERROR(__xludf.dummyfunction("""COMPUTED_VALUE"""),"suggestion::change::(logging)")</f>
        <v>suggestion::change::(logging)</v>
      </c>
      <c r="G200" s="4" t="str">
        <f aca="false">IFERROR(__xludf.dummyfunction("""COMPUTED_VALUE"""),"not::approval::for::submitting::(vote10)")</f>
        <v>not::approval::for::submitting::(vote10)</v>
      </c>
      <c r="H200" s="4" t="str">
        <f aca="false">IFERROR(__xludf.dummyfunction("""COMPUTED_VALUE"""),"providing::advice::how::to::fix::failures::(building::tests)")</f>
        <v>providing::advice::how::to::fix::failures::(building::tests)</v>
      </c>
    </row>
    <row r="201" customFormat="false" ht="15.75" hidden="false" customHeight="false" outlineLevel="0" collapsed="false">
      <c r="A201" s="3" t="s">
        <v>1834</v>
      </c>
      <c r="B201" s="3" t="str">
        <f aca="false">IF(COUNTIF(Final_CB_R8_V5!$B$8:$B$20345,A201)&gt;=1,"YES","NO")</f>
        <v>YES</v>
      </c>
      <c r="C201" s="3" t="s">
        <v>1835</v>
      </c>
      <c r="D201" s="3" t="str">
        <f aca="false">IF(COUNTIF(Final_CB_R8_V5!$C$8:$C$2345,C201)&gt;=1,"YES","NO")</f>
        <v>YES</v>
      </c>
      <c r="F201" s="4" t="str">
        <f aca="false">IFERROR(__xludf.dummyfunction("""COMPUTED_VALUE"""),"suggestion::change::(logging::level)")</f>
        <v>suggestion::change::(logging::level)</v>
      </c>
      <c r="G201" s="4" t="str">
        <f aca="false">IFERROR(__xludf.dummyfunction("""COMPUTED_VALUE"""),"not::approval::for::submitting::(vote11)")</f>
        <v>not::approval::for::submitting::(vote11)</v>
      </c>
      <c r="H201" s="4" t="str">
        <f aca="false">IFERROR(__xludf.dummyfunction("""COMPUTED_VALUE"""),"providing::advice::how::to::fix::failures::(how::to::initialize::variables)::with::code")</f>
        <v>providing::advice::how::to::fix::failures::(how::to::initialize::variables)::with::code</v>
      </c>
    </row>
    <row r="202" customFormat="false" ht="15.75" hidden="false" customHeight="false" outlineLevel="0" collapsed="false">
      <c r="A202" s="3" t="s">
        <v>1734</v>
      </c>
      <c r="B202" s="3" t="str">
        <f aca="false">IF(COUNTIF(Final_CB_R8_V5!$B$8:$B$20345,A202)&gt;=1,"YES","NO")</f>
        <v>YES</v>
      </c>
      <c r="C202" s="3" t="s">
        <v>1836</v>
      </c>
      <c r="D202" s="3" t="str">
        <f aca="false">IF(COUNTIF(Final_CB_R8_V5!$C$8:$C$2345,C202)&gt;=1,"YES","NO")</f>
        <v>YES</v>
      </c>
      <c r="F202" s="4" t="str">
        <f aca="false">IFERROR(__xludf.dummyfunction("""COMPUTED_VALUE"""),"suggestion::change::(logging::message::clearness)")</f>
        <v>suggestion::change::(logging::message::clearness)</v>
      </c>
      <c r="G202" s="4" t="str">
        <f aca="false">IFERROR(__xludf.dummyfunction("""COMPUTED_VALUE"""),"not::approval::for::submitting::(with::reasons)1")</f>
        <v>not::approval::for::submitting::(with::reasons)1</v>
      </c>
      <c r="H202" s="4" t="str">
        <f aca="false">IFERROR(__xludf.dummyfunction("""COMPUTED_VALUE"""),"providing::advice::how::to::fix::failures::(revert:.changes)")</f>
        <v>providing::advice::how::to::fix::failures::(revert:.changes)</v>
      </c>
    </row>
    <row r="203" customFormat="false" ht="15.75" hidden="false" customHeight="false" outlineLevel="0" collapsed="false">
      <c r="A203" s="3" t="s">
        <v>1837</v>
      </c>
      <c r="B203" s="3" t="str">
        <f aca="false">IF(COUNTIF(Final_CB_R8_V5!$B$8:$B$20345,A203)&gt;=1,"YES","NO")</f>
        <v>YES</v>
      </c>
      <c r="C203" s="3" t="s">
        <v>1838</v>
      </c>
      <c r="D203" s="3" t="str">
        <f aca="false">IF(COUNTIF(Final_CB_R8_V5!$C$8:$C$2345,C203)&gt;=1,"YES","NO")</f>
        <v>YES</v>
      </c>
      <c r="F203" s="4" t="str">
        <f aca="false">IFERROR(__xludf.dummyfunction("""COMPUTED_VALUE"""),"suggestion::change::(logic)")</f>
        <v>suggestion::change::(logic)</v>
      </c>
      <c r="G203" s="4" t="str">
        <f aca="false">IFERROR(__xludf.dummyfunction("""COMPUTED_VALUE"""),"not::approval::for::submitting::(with::reasons)2")</f>
        <v>not::approval::for::submitting::(with::reasons)2</v>
      </c>
      <c r="H203" s="4" t="str">
        <f aca="false">IFERROR(__xludf.dummyfunction("""COMPUTED_VALUE"""),"providing::advice::implications::of::suggestion::refactoring::(move::logic::parent::class::instead::of::sub::classes)")</f>
        <v>providing::advice::implications::of::suggestion::refactoring::(move::logic::parent::class::instead::of::sub::classes)</v>
      </c>
    </row>
    <row r="204" customFormat="false" ht="15.75" hidden="false" customHeight="false" outlineLevel="0" collapsed="false">
      <c r="A204" s="3" t="s">
        <v>1839</v>
      </c>
      <c r="B204" s="3" t="str">
        <f aca="false">IF(COUNTIF(Final_CB_R8_V5!$B$8:$B$20345,A204)&gt;=1,"YES","NO")</f>
        <v>YES</v>
      </c>
      <c r="C204" s="3" t="s">
        <v>1840</v>
      </c>
      <c r="D204" s="3" t="str">
        <f aca="false">IF(COUNTIF(Final_CB_R8_V5!$C$8:$C$2345,C204)&gt;=1,"YES","NO")</f>
        <v>YES</v>
      </c>
      <c r="F204" s="4" t="str">
        <f aca="false">IFERROR(__xludf.dummyfunction("""COMPUTED_VALUE"""),"suggestion::change::(missing::tests)")</f>
        <v>suggestion::change::(missing::tests)</v>
      </c>
      <c r="G204" s="4" t="str">
        <f aca="false">IFERROR(__xludf.dummyfunction("""COMPUTED_VALUE"""),"not::approval::for::submitting::(with::reasons)8")</f>
        <v>not::approval::for::submitting::(with::reasons)8</v>
      </c>
      <c r="H204" s="4" t="str">
        <f aca="false">IFERROR(__xludf.dummyfunction("""COMPUTED_VALUE"""),"providing::clarification::(need::of::conditional)")</f>
        <v>providing::clarification::(need::of::conditional)</v>
      </c>
    </row>
    <row r="205" customFormat="false" ht="15.75" hidden="false" customHeight="false" outlineLevel="0" collapsed="false">
      <c r="A205" s="3" t="s">
        <v>1841</v>
      </c>
      <c r="B205" s="3" t="str">
        <f aca="false">IF(COUNTIF(Final_CB_R8_V5!$B$8:$B$20345,A205)&gt;=1,"YES","NO")</f>
        <v>YES</v>
      </c>
      <c r="C205" s="3" t="s">
        <v>1842</v>
      </c>
      <c r="D205" s="3" t="str">
        <f aca="false">IF(COUNTIF(Final_CB_R8_V5!$C$8:$C$2345,C205)&gt;=1,"YES","NO")</f>
        <v>YES</v>
      </c>
      <c r="F205" s="4" t="str">
        <f aca="false">IFERROR(__xludf.dummyfunction("""COMPUTED_VALUE"""),"suggestion::change::(missing::unit::tests)")</f>
        <v>suggestion::change::(missing::unit::tests)</v>
      </c>
      <c r="G205" s="4" t="str">
        <f aca="false">IFERROR(__xludf.dummyfunction("""COMPUTED_VALUE"""),"not::approval::for::submitting::core::rev1")</f>
        <v>not::approval::for::submitting::core::rev1</v>
      </c>
      <c r="H205" s="4" t="str">
        <f aca="false">IFERROR(__xludf.dummyfunction("""COMPUTED_VALUE"""),"providing::clarification::(need::of::method::calling)")</f>
        <v>providing::clarification::(need::of::method::calling)</v>
      </c>
    </row>
    <row r="206" customFormat="false" ht="15.75" hidden="false" customHeight="false" outlineLevel="0" collapsed="false">
      <c r="A206" s="3" t="s">
        <v>1843</v>
      </c>
      <c r="B206" s="3" t="str">
        <f aca="false">IF(COUNTIF(Final_CB_R8_V5!$B$8:$B$20345,A206)&gt;=1,"YES","NO")</f>
        <v>YES</v>
      </c>
      <c r="C206" s="3" t="s">
        <v>1844</v>
      </c>
      <c r="D206" s="3" t="str">
        <f aca="false">IF(COUNTIF(Final_CB_R8_V5!$C$8:$C$2345,C206)&gt;=1,"YES","NO")</f>
        <v>YES</v>
      </c>
      <c r="F206" s="4" t="str">
        <f aca="false">IFERROR(__xludf.dummyfunction("""COMPUTED_VALUE"""),"suggestion::change::(move::logic)")</f>
        <v>suggestion::change::(move::logic)</v>
      </c>
      <c r="G206" s="4" t="str">
        <f aca="false">IFERROR(__xludf.dummyfunction("""COMPUTED_VALUE"""),"not::approval::for::submitting::core::rev::(vote1)")</f>
        <v>not::approval::for::submitting::core::rev::(vote1)</v>
      </c>
      <c r="H206" s="4" t="str">
        <f aca="false">IFERROR(__xludf.dummyfunction("""COMPUTED_VALUE"""),"providing::clarification::(need::to::move::logic)")</f>
        <v>providing::clarification::(need::to::move::logic)</v>
      </c>
    </row>
    <row r="207" customFormat="false" ht="15.75" hidden="false" customHeight="false" outlineLevel="0" collapsed="false">
      <c r="A207" s="3" t="s">
        <v>1740</v>
      </c>
      <c r="B207" s="3" t="str">
        <f aca="false">IF(COUNTIF(Final_CB_R8_V5!$B$8:$B$20345,A207)&gt;=1,"YES","NO")</f>
        <v>YES</v>
      </c>
      <c r="C207" s="3" t="s">
        <v>1845</v>
      </c>
      <c r="D207" s="3" t="str">
        <f aca="false">IF(COUNTIF(Final_CB_R8_V5!$C$8:$C$2345,C207)&gt;=1,"YES","NO")</f>
        <v>YES</v>
      </c>
      <c r="F207" s="4" t="str">
        <f aca="false">IFERROR(__xludf.dummyfunction("""COMPUTED_VALUE"""),"suggestion::change::(move::logic)::with::code")</f>
        <v>suggestion::change::(move::logic)::with::code</v>
      </c>
      <c r="G207" s="4" t="str">
        <f aca="false">IFERROR(__xludf.dummyfunction("""COMPUTED_VALUE"""),"not::approval::for::submitting::core::rev::(vote4)")</f>
        <v>not::approval::for::submitting::core::rev::(vote4)</v>
      </c>
      <c r="H207" s="4" t="str">
        <f aca="false">IFERROR(__xludf.dummyfunction("""COMPUTED_VALUE"""),"providing::clarification::(where::is::the::BP::implemented)")</f>
        <v>providing::clarification::(where::is::the::BP::implemented)</v>
      </c>
    </row>
    <row r="208" customFormat="false" ht="15.75" hidden="false" customHeight="false" outlineLevel="0" collapsed="false">
      <c r="A208" s="3" t="s">
        <v>1741</v>
      </c>
      <c r="B208" s="3" t="str">
        <f aca="false">IF(COUNTIF(Final_CB_R8_V5!$B$8:$B$20345,A208)&gt;=1,"YES","NO")</f>
        <v>YES</v>
      </c>
      <c r="C208" s="3" t="s">
        <v>1846</v>
      </c>
      <c r="D208" s="3" t="str">
        <f aca="false">IF(COUNTIF(Final_CB_R8_V5!$C$8:$C$2345,C208)&gt;=1,"YES","NO")</f>
        <v>YES</v>
      </c>
      <c r="F208" s="4" t="str">
        <f aca="false">IFERROR(__xludf.dummyfunction("""COMPUTED_VALUE"""),"suggestion::change::(object::version)")</f>
        <v>suggestion::change::(object::version)</v>
      </c>
      <c r="G208" s="4" t="str">
        <f aca="false">IFERROR(__xludf.dummyfunction("""COMPUTED_VALUE"""),"not::approval::for::submitting::core::rev::(vote5)")</f>
        <v>not::approval::for::submitting::core::rev::(vote5)</v>
      </c>
      <c r="H208" s="4" t="str">
        <f aca="false">IFERROR(__xludf.dummyfunction("""COMPUTED_VALUE"""),"providing::clarification::about::change::(documentation)")</f>
        <v>providing::clarification::about::change::(documentation)</v>
      </c>
    </row>
    <row r="209" customFormat="false" ht="15.75" hidden="false" customHeight="false" outlineLevel="0" collapsed="false">
      <c r="A209" s="3" t="s">
        <v>1847</v>
      </c>
      <c r="B209" s="3" t="str">
        <f aca="false">IF(COUNTIF(Final_CB_R8_V5!$B$8:$B$20345,A209)&gt;=1,"YES","NO")</f>
        <v>YES</v>
      </c>
      <c r="C209" s="3" t="s">
        <v>1848</v>
      </c>
      <c r="D209" s="3" t="str">
        <f aca="false">IF(COUNTIF(Final_CB_R8_V5!$C$8:$C$2345,C209)&gt;=1,"YES","NO")</f>
        <v>YES</v>
      </c>
      <c r="F209" s="4" t="str">
        <f aca="false">IFERROR(__xludf.dummyfunction("""COMPUTED_VALUE"""),"suggestion::change::(prevent::failure)")</f>
        <v>suggestion::change::(prevent::failure)</v>
      </c>
      <c r="G209" s="4" t="str">
        <f aca="false">IFERROR(__xludf.dummyfunction("""COMPUTED_VALUE"""),"not::approval::for::submitting::core::rev::(vote6)")</f>
        <v>not::approval::for::submitting::core::rev::(vote6)</v>
      </c>
      <c r="H209" s="4" t="str">
        <f aca="false">IFERROR(__xludf.dummyfunction("""COMPUTED_VALUE"""),"providing::clarification::about::code::(a::different::approach::than::existing::one)")</f>
        <v>providing::clarification::about::code::(a::different::approach::than::existing::one)</v>
      </c>
    </row>
    <row r="210" customFormat="false" ht="15.75" hidden="false" customHeight="false" outlineLevel="0" collapsed="false">
      <c r="A210" s="3" t="s">
        <v>1849</v>
      </c>
      <c r="B210" s="3" t="str">
        <f aca="false">IF(COUNTIF(Final_CB_R8_V5!$B$8:$B$20345,A210)&gt;=1,"YES","NO")</f>
        <v>YES</v>
      </c>
      <c r="C210" s="3" t="s">
        <v>1850</v>
      </c>
      <c r="D210" s="3" t="str">
        <f aca="false">IF(COUNTIF(Final_CB_R8_V5!$C$8:$C$2345,C210)&gt;=1,"YES","NO")</f>
        <v>YES</v>
      </c>
      <c r="F210" s="4" t="str">
        <f aca="false">IFERROR(__xludf.dummyfunction("""COMPUTED_VALUE"""),"suggestion::change::(removing::comment::documentation)")</f>
        <v>suggestion::change::(removing::comment::documentation)</v>
      </c>
      <c r="G210" s="4" t="str">
        <f aca="false">IFERROR(__xludf.dummyfunction("""COMPUTED_VALUE"""),"not::approval::workflow::(vote1)")</f>
        <v>not::approval::workflow::(vote1)</v>
      </c>
      <c r="H210" s="4" t="str">
        <f aca="false">IFERROR(__xludf.dummyfunction("""COMPUTED_VALUE"""),"providing::clarification::about::code::(conditional::with::break)")</f>
        <v>providing::clarification::about::code::(conditional::with::break)</v>
      </c>
    </row>
    <row r="211" customFormat="false" ht="15.75" hidden="false" customHeight="false" outlineLevel="0" collapsed="false">
      <c r="A211" s="3" t="s">
        <v>1851</v>
      </c>
      <c r="B211" s="3" t="str">
        <f aca="false">IF(COUNTIF(Final_CB_R8_V5!$B$8:$B$20345,A211)&gt;=1,"YES","NO")</f>
        <v>YES</v>
      </c>
      <c r="C211" s="3" t="s">
        <v>1852</v>
      </c>
      <c r="D211" s="3" t="str">
        <f aca="false">IF(COUNTIF(Final_CB_R8_V5!$C$8:$C$2345,C211)&gt;=1,"YES","NO")</f>
        <v>YES</v>
      </c>
      <c r="F211" s="4" t="str">
        <f aca="false">IFERROR(__xludf.dummyfunction("""COMPUTED_VALUE"""),"suggestion::change::(removing::unnecessary::code)")</f>
        <v>suggestion::change::(removing::unnecessary::code)</v>
      </c>
      <c r="G211" s="4" t="str">
        <f aca="false">IFERROR(__xludf.dummyfunction("""COMPUTED_VALUE"""),"not::approval::workflow::(vote2)")</f>
        <v>not::approval::workflow::(vote2)</v>
      </c>
      <c r="H211" s="4" t="str">
        <f aca="false">IFERROR(__xludf.dummyfunction("""COMPUTED_VALUE"""),"providing::clarification::about::code::(default::value)")</f>
        <v>providing::clarification::about::code::(default::value)</v>
      </c>
    </row>
    <row r="212" customFormat="false" ht="15.75" hidden="false" customHeight="false" outlineLevel="0" collapsed="false">
      <c r="A212" s="3" t="s">
        <v>1853</v>
      </c>
      <c r="B212" s="3" t="str">
        <f aca="false">IF(COUNTIF(Final_CB_R8_V5!$B$8:$B$20345,A212)&gt;=1,"YES","NO")</f>
        <v>YES</v>
      </c>
      <c r="C212" s="3" t="s">
        <v>1854</v>
      </c>
      <c r="D212" s="3" t="str">
        <f aca="false">IF(COUNTIF(Final_CB_R8_V5!$C$8:$C$2345,C212)&gt;=1,"YES","NO")</f>
        <v>YES</v>
      </c>
      <c r="F212" s="4" t="str">
        <f aca="false">IFERROR(__xludf.dummyfunction("""COMPUTED_VALUE"""),"suggestion::change::(solution::design)")</f>
        <v>suggestion::change::(solution::design)</v>
      </c>
      <c r="G212" s="4" t="str">
        <f aca="false">IFERROR(__xludf.dummyfunction("""COMPUTED_VALUE"""),"not::approval::workflow::(vote3)")</f>
        <v>not::approval::workflow::(vote3)</v>
      </c>
      <c r="H212" s="4" t="str">
        <f aca="false">IFERROR(__xludf.dummyfunction("""COMPUTED_VALUE"""),"providing::clarification::about::code::(design::access::modifiers)")</f>
        <v>providing::clarification::about::code::(design::access::modifiers)</v>
      </c>
    </row>
    <row r="213" customFormat="false" ht="15.75" hidden="false" customHeight="false" outlineLevel="0" collapsed="false">
      <c r="A213" s="3" t="s">
        <v>1855</v>
      </c>
      <c r="B213" s="3" t="str">
        <f aca="false">IF(COUNTIF(Final_CB_R8_V5!$B$8:$B$20345,A213)&gt;=1,"YES","NO")</f>
        <v>YES</v>
      </c>
      <c r="C213" s="3" t="s">
        <v>1856</v>
      </c>
      <c r="D213" s="3" t="str">
        <f aca="false">IF(COUNTIF(Final_CB_R8_V5!$C$8:$C$2345,C213)&gt;=1,"YES","NO")</f>
        <v>YES</v>
      </c>
      <c r="F213" s="4" t="str">
        <f aca="false">IFERROR(__xludf.dummyfunction("""COMPUTED_VALUE"""),"suggestion::change::(test::remove)")</f>
        <v>suggestion::change::(test::remove)</v>
      </c>
      <c r="G213" s="4" t="str">
        <f aca="false">IFERROR(__xludf.dummyfunction("""COMPUTED_VALUE"""),"not::approval::workflow::(vote4)")</f>
        <v>not::approval::workflow::(vote4)</v>
      </c>
      <c r="H213" s="4" t="str">
        <f aca="false">IFERROR(__xludf.dummyfunction("""COMPUTED_VALUE"""),"providing::clarification::about::code::(functionallity::paths::scope)")</f>
        <v>providing::clarification::about::code::(functionallity::paths::scope)</v>
      </c>
    </row>
    <row r="214" customFormat="false" ht="15.75" hidden="false" customHeight="false" outlineLevel="0" collapsed="false">
      <c r="A214" s="3" t="s">
        <v>1742</v>
      </c>
      <c r="B214" s="3" t="str">
        <f aca="false">IF(COUNTIF(Final_CB_R8_V5!$B$8:$B$20345,A214)&gt;=1,"YES","NO")</f>
        <v>YES</v>
      </c>
      <c r="C214" s="3" t="s">
        <v>1857</v>
      </c>
      <c r="D214" s="3" t="str">
        <f aca="false">IF(COUNTIF(Final_CB_R8_V5!$C$8:$C$2345,C214)&gt;=1,"YES","NO")</f>
        <v>YES</v>
      </c>
      <c r="F214" s="4" t="str">
        <f aca="false">IFERROR(__xludf.dummyfunction("""COMPUTED_VALUE"""),"suggestion::change::(tests::result::specific::case)")</f>
        <v>suggestion::change::(tests::result::specific::case)</v>
      </c>
      <c r="G214" s="4" t="str">
        <f aca="false">IFERROR(__xludf.dummyfunction("""COMPUTED_VALUE"""),"nothing")</f>
        <v>nothing</v>
      </c>
      <c r="H214" s="4" t="str">
        <f aca="false">IFERROR(__xludf.dummyfunction("""COMPUTED_VALUE"""),"providing::clarification::about::code::(log::need)")</f>
        <v>providing::clarification::about::code::(log::need)</v>
      </c>
    </row>
    <row r="215" customFormat="false" ht="15.75" hidden="false" customHeight="false" outlineLevel="0" collapsed="false">
      <c r="A215" s="3" t="s">
        <v>1858</v>
      </c>
      <c r="B215" s="3" t="str">
        <f aca="false">IF(COUNTIF(Final_CB_R8_V5!$B$8:$B$20345,A215)&gt;=1,"YES","NO")</f>
        <v>YES</v>
      </c>
      <c r="C215" s="3" t="s">
        <v>1859</v>
      </c>
      <c r="D215" s="3" t="str">
        <f aca="false">IF(COUNTIF(Final_CB_R8_V5!$C$8:$C$2345,C215)&gt;=1,"YES","NO")</f>
        <v>YES</v>
      </c>
      <c r="F215" s="4" t="str">
        <f aca="false">IFERROR(__xludf.dummyfunction("""COMPUTED_VALUE"""),"suggestion::change::(to::mantain::bacward::compatibility)")</f>
        <v>suggestion::change::(to::mantain::bacward::compatibility)</v>
      </c>
      <c r="G215" s="4" t="str">
        <f aca="false">IFERROR(__xludf.dummyfunction("""COMPUTED_VALUE"""),"noticing::incorrect::use::of::patches")</f>
        <v>noticing::incorrect::use::of::patches</v>
      </c>
      <c r="H215" s="4" t="str">
        <f aca="false">IFERROR(__xludf.dummyfunction("""COMPUTED_VALUE"""),"providing::clarification::about::code::(missing::context)")</f>
        <v>providing::clarification::about::code::(missing::context)</v>
      </c>
    </row>
    <row r="216" customFormat="false" ht="15.75" hidden="false" customHeight="false" outlineLevel="0" collapsed="false">
      <c r="A216" s="3" t="s">
        <v>1860</v>
      </c>
      <c r="B216" s="3" t="str">
        <f aca="false">IF(COUNTIF(Final_CB_R8_V5!$B$8:$B$20345,A216)&gt;=1,"YES","NO")</f>
        <v>YES</v>
      </c>
      <c r="C216" s="3" t="s">
        <v>1861</v>
      </c>
      <c r="D216" s="3" t="str">
        <f aca="false">IF(COUNTIF(Final_CB_R8_V5!$C$8:$C$2345,C216)&gt;=1,"YES","NO")</f>
        <v>YES</v>
      </c>
      <c r="F216" s="4" t="str">
        <f aca="false">IFERROR(__xludf.dummyfunction("""COMPUTED_VALUE"""),"suggestion::change::(types)")</f>
        <v>suggestion::change::(types)</v>
      </c>
      <c r="G216" s="4" t="str">
        <f aca="false">IFERROR(__xludf.dummyfunction("""COMPUTED_VALUE"""),"objecting::advice::how::to::develop")</f>
        <v>objecting::advice::how::to::develop</v>
      </c>
      <c r="H216" s="4" t="str">
        <f aca="false">IFERROR(__xludf.dummyfunction("""COMPUTED_VALUE"""),"providing::clarification::about::code::(need::functionallity)")</f>
        <v>providing::clarification::about::code::(need::functionallity)</v>
      </c>
    </row>
    <row r="217" customFormat="false" ht="15.75" hidden="false" customHeight="false" outlineLevel="0" collapsed="false">
      <c r="A217" s="3" t="s">
        <v>1862</v>
      </c>
      <c r="B217" s="3" t="str">
        <f aca="false">IF(COUNTIF(Final_CB_R8_V5!$B$8:$B$20345,A217)&gt;=1,"YES","NO")</f>
        <v>YES</v>
      </c>
      <c r="C217" s="3" t="s">
        <v>1863</v>
      </c>
      <c r="D217" s="3" t="str">
        <f aca="false">IF(COUNTIF(Final_CB_R8_V5!$C$8:$C$2345,C217)&gt;=1,"YES","NO")</f>
        <v>YES</v>
      </c>
      <c r="F217" s="4" t="str">
        <f aca="false">IFERROR(__xludf.dummyfunction("""COMPUTED_VALUE"""),"suggestion::change::(typo)")</f>
        <v>suggestion::change::(typo)</v>
      </c>
      <c r="G217" s="4" t="str">
        <f aca="false">IFERROR(__xludf.dummyfunction("""COMPUTED_VALUE"""),"objecting::changes::required::for::submitting")</f>
        <v>objecting::changes::required::for::submitting</v>
      </c>
      <c r="H217" s="4" t="str">
        <f aca="false">IFERROR(__xludf.dummyfunction("""COMPUTED_VALUE"""),"providing::clarification::about::code::(need::of::code)")</f>
        <v>providing::clarification::about::code::(need::of::code)</v>
      </c>
    </row>
    <row r="218" customFormat="false" ht="15.75" hidden="false" customHeight="false" outlineLevel="0" collapsed="false">
      <c r="A218" s="3" t="s">
        <v>1747</v>
      </c>
      <c r="B218" s="3" t="str">
        <f aca="false">IF(COUNTIF(Final_CB_R8_V5!$B$8:$B$20345,A218)&gt;=1,"YES","NO")</f>
        <v>YES</v>
      </c>
      <c r="C218" s="3" t="s">
        <v>1864</v>
      </c>
      <c r="D218" s="3" t="str">
        <f aca="false">IF(COUNTIF(Final_CB_R8_V5!$C$8:$C$2345,C218)&gt;=1,"YES","NO")</f>
        <v>YES</v>
      </c>
      <c r="F218" s="4" t="str">
        <f aca="false">IFERROR(__xludf.dummyfunction("""COMPUTED_VALUE"""),"suggestion::change::(update::method)")</f>
        <v>suggestion::change::(update::method)</v>
      </c>
      <c r="G218" s="4" t="str">
        <f aca="false">IFERROR(__xludf.dummyfunction("""COMPUTED_VALUE"""),"objecting::clarification::about::code")</f>
        <v>objecting::clarification::about::code</v>
      </c>
      <c r="H218" s="4" t="str">
        <f aca="false">IFERROR(__xludf.dummyfunction("""COMPUTED_VALUE"""),"providing::clarification::about::code::(need::of::tests)")</f>
        <v>providing::clarification::about::code::(need::of::tests)</v>
      </c>
    </row>
    <row r="219" customFormat="false" ht="15.75" hidden="false" customHeight="false" outlineLevel="0" collapsed="false">
      <c r="A219" s="3" t="s">
        <v>1750</v>
      </c>
      <c r="B219" s="3" t="str">
        <f aca="false">IF(COUNTIF(Final_CB_R8_V5!$B$8:$B$20345,A219)&gt;=1,"YES","NO")</f>
        <v>YES</v>
      </c>
      <c r="C219" s="3" t="s">
        <v>1865</v>
      </c>
      <c r="D219" s="3" t="str">
        <f aca="false">IF(COUNTIF(Final_CB_R8_V5!$C$8:$C$2345,C219)&gt;=1,"YES","NO")</f>
        <v>YES</v>
      </c>
      <c r="F219" s="4" t="str">
        <f aca="false">IFERROR(__xludf.dummyfunction("""COMPUTED_VALUE"""),"suggestion::change::(use::method/function)")</f>
        <v>suggestion::change::(use::method/function)</v>
      </c>
      <c r="G219" s="4" t="str">
        <f aca="false">IFERROR(__xludf.dummyfunction("""COMPUTED_VALUE"""),"objecting::clarification::about::code::(how::to::test::it)")</f>
        <v>objecting::clarification::about::code::(how::to::test::it)</v>
      </c>
      <c r="H219" s="4" t="str">
        <f aca="false">IFERROR(__xludf.dummyfunction("""COMPUTED_VALUE"""),"providing::clarification::about::code::(previous::version::vs::actual::code)")</f>
        <v>providing::clarification::about::code::(previous::version::vs::actual::code)</v>
      </c>
    </row>
    <row r="220" customFormat="false" ht="15.75" hidden="false" customHeight="false" outlineLevel="0" collapsed="false">
      <c r="A220" s="3" t="s">
        <v>1752</v>
      </c>
      <c r="B220" s="3" t="str">
        <f aca="false">IF(COUNTIF(Final_CB_R8_V5!$B$8:$B$20345,A220)&gt;=1,"YES","NO")</f>
        <v>YES</v>
      </c>
      <c r="C220" s="3" t="s">
        <v>1866</v>
      </c>
      <c r="D220" s="3" t="str">
        <f aca="false">IF(COUNTIF(Final_CB_R8_V5!$C$8:$C$2345,C220)&gt;=1,"YES","NO")</f>
        <v>YES</v>
      </c>
      <c r="F220" s="4" t="str">
        <f aca="false">IFERROR(__xludf.dummyfunction("""COMPUTED_VALUE"""),"suggestion::change::(variable::to::constant)")</f>
        <v>suggestion::change::(variable::to::constant)</v>
      </c>
      <c r="G220" s="4" t="str">
        <f aca="false">IFERROR(__xludf.dummyfunction("""COMPUTED_VALUE"""),"objecting::clarification::about::code::(input::paramenter)")</f>
        <v>objecting::clarification::about::code::(input::paramenter)</v>
      </c>
      <c r="H220" s="4" t="str">
        <f aca="false">IFERROR(__xludf.dummyfunction("""COMPUTED_VALUE"""),"providing::clarification::about::code::(reason::of::changing::code)")</f>
        <v>providing::clarification::about::code::(reason::of::changing::code)</v>
      </c>
    </row>
    <row r="221" customFormat="false" ht="15.75" hidden="false" customHeight="false" outlineLevel="0" collapsed="false">
      <c r="A221" s="3" t="s">
        <v>1753</v>
      </c>
      <c r="B221" s="3" t="str">
        <f aca="false">IF(COUNTIF(Final_CB_R8_V5!$B$8:$B$20345,A221)&gt;=1,"YES","NO")</f>
        <v>YES</v>
      </c>
      <c r="C221" s="3" t="s">
        <v>1867</v>
      </c>
      <c r="D221" s="3" t="str">
        <f aca="false">IF(COUNTIF(Final_CB_R8_V5!$C$8:$C$2345,C221)&gt;=1,"YES","NO")</f>
        <v>YES</v>
      </c>
      <c r="F221" s="4" t="str">
        <f aca="false">IFERROR(__xludf.dummyfunction("""COMPUTED_VALUE"""),"suggestion::change::typo::(commit::message)")</f>
        <v>suggestion::change::typo::(commit::message)</v>
      </c>
      <c r="G221" s="4" t="str">
        <f aca="false">IFERROR(__xludf.dummyfunction("""COMPUTED_VALUE"""),"objecting::clarification::intended::solution::design::(does::not::apply)")</f>
        <v>objecting::clarification::intended::solution::design::(does::not::apply)</v>
      </c>
      <c r="H221" s="4" t="str">
        <f aca="false">IFERROR(__xludf.dummyfunction("""COMPUTED_VALUE"""),"providing::clarification::about::code::(reason::of::the:.code)")</f>
        <v>providing::clarification::about::code::(reason::of::the:.code)</v>
      </c>
    </row>
    <row r="222" customFormat="false" ht="15.75" hidden="false" customHeight="false" outlineLevel="0" collapsed="false">
      <c r="A222" s="3" t="s">
        <v>1756</v>
      </c>
      <c r="B222" s="3" t="str">
        <f aca="false">IF(COUNTIF(Final_CB_R8_V5!$B$8:$B$20345,A222)&gt;=1,"YES","NO")</f>
        <v>YES</v>
      </c>
      <c r="C222" s="3" t="s">
        <v>1868</v>
      </c>
      <c r="D222" s="3" t="str">
        <f aca="false">IF(COUNTIF(Final_CB_R8_V5!$C$8:$C$2345,C222)&gt;=1,"YES","NO")</f>
        <v>YES</v>
      </c>
      <c r="F222" s="4" t="str">
        <f aca="false">IFERROR(__xludf.dummyfunction("""COMPUTED_VALUE"""),"suggestion::content::change::(commit::message)")</f>
        <v>suggestion::content::change::(commit::message)</v>
      </c>
      <c r="G222" s="4" t="str">
        <f aca="false">IFERROR(__xludf.dummyfunction("""COMPUTED_VALUE"""),"objecting::move:.the::changes:.to::different::patch::(new::patch)")</f>
        <v>objecting::move:.the::changes:.to::different::patch::(new::patch)</v>
      </c>
      <c r="H222" s="4" t="str">
        <f aca="false">IFERROR(__xludf.dummyfunction("""COMPUTED_VALUE"""),"providing::clarification::about::code::(reason::of::the::design)")</f>
        <v>providing::clarification::about::code::(reason::of::the::design)</v>
      </c>
    </row>
    <row r="223" customFormat="false" ht="15.75" hidden="false" customHeight="false" outlineLevel="0" collapsed="false">
      <c r="A223" s="3" t="s">
        <v>1869</v>
      </c>
      <c r="B223" s="3" t="str">
        <f aca="false">IF(COUNTIF(Final_CB_R8_V5!$B$8:$B$20345,A223)&gt;=1,"YES","NO")</f>
        <v>YES</v>
      </c>
      <c r="C223" s="3" t="s">
        <v>1870</v>
      </c>
      <c r="D223" s="3" t="str">
        <f aca="false">IF(COUNTIF(Final_CB_R8_V5!$C$8:$C$2345,C223)&gt;=1,"YES","NO")</f>
        <v>YES</v>
      </c>
      <c r="F223" s="4" t="str">
        <f aca="false">IFERROR(__xludf.dummyfunction("""COMPUTED_VALUE"""),"suggestion::content::change::(commit::message::BP::referenced)")</f>
        <v>suggestion::content::change::(commit::message::BP::referenced)</v>
      </c>
      <c r="G223" s="4" t="str">
        <f aca="false">IFERROR(__xludf.dummyfunction("""COMPUTED_VALUE"""),"objecting::objecting::suggestion::refactoring::(move::logic)")</f>
        <v>objecting::objecting::suggestion::refactoring::(move::logic)</v>
      </c>
      <c r="H223" s="4" t="str">
        <f aca="false">IFERROR(__xludf.dummyfunction("""COMPUTED_VALUE"""),"providing::clarification::about::code::(tests::result::specific::case)")</f>
        <v>providing::clarification::about::code::(tests::result::specific::case)</v>
      </c>
    </row>
    <row r="224" customFormat="false" ht="15.75" hidden="false" customHeight="false" outlineLevel="0" collapsed="false">
      <c r="A224" s="3" t="s">
        <v>1761</v>
      </c>
      <c r="B224" s="3" t="str">
        <f aca="false">IF(COUNTIF(Final_CB_R8_V5!$B$8:$B$20345,A224)&gt;=1,"YES","NO")</f>
        <v>YES</v>
      </c>
      <c r="C224" s="3" t="s">
        <v>1871</v>
      </c>
      <c r="D224" s="3" t="str">
        <f aca="false">IF(COUNTIF(Final_CB_R8_V5!$C$8:$C$2345,C224)&gt;=1,"YES","NO")</f>
        <v>YES</v>
      </c>
      <c r="F224" s="4" t="str">
        <f aca="false">IFERROR(__xludf.dummyfunction("""COMPUTED_VALUE"""),"suggestion::content::change::(commit::message::docImpact)")</f>
        <v>suggestion::content::change::(commit::message::docImpact)</v>
      </c>
      <c r="G224" s="4" t="str">
        <f aca="false">IFERROR(__xludf.dummyfunction("""COMPUTED_VALUE"""),"objecting::objection::suggestion::refactoring::(unnecesary::loop)")</f>
        <v>objecting::objection::suggestion::refactoring::(unnecesary::loop)</v>
      </c>
      <c r="H224" s="4" t="str">
        <f aca="false">IFERROR(__xludf.dummyfunction("""COMPUTED_VALUE"""),"providing::clarification::about::code::(unnecesary::loop)")</f>
        <v>providing::clarification::about::code::(unnecesary::loop)</v>
      </c>
    </row>
    <row r="225" customFormat="false" ht="15.75" hidden="false" customHeight="false" outlineLevel="0" collapsed="false">
      <c r="A225" s="3" t="s">
        <v>1763</v>
      </c>
      <c r="B225" s="3" t="str">
        <f aca="false">IF(COUNTIF(Final_CB_R8_V5!$B$8:$B$20345,A225)&gt;=1,"YES","NO")</f>
        <v>YES</v>
      </c>
      <c r="C225" s="3" t="s">
        <v>1872</v>
      </c>
      <c r="D225" s="3" t="str">
        <f aca="false">IF(COUNTIF(Final_CB_R8_V5!$C$8:$C$2345,C225)&gt;=1,"YES","NO")</f>
        <v>YES</v>
      </c>
      <c r="F225" s="4" t="str">
        <f aca="false">IFERROR(__xludf.dummyfunction("""COMPUTED_VALUE"""),"suggestion::content::change::(commit::message::docImpact::explanation)")</f>
        <v>suggestion::content::change::(commit::message::docImpact::explanation)</v>
      </c>
      <c r="G225" s="4" t="str">
        <f aca="false">IFERROR(__xludf.dummyfunction("""COMPUTED_VALUE"""),"objecting::suggestion::change::(architecture)")</f>
        <v>objecting::suggestion::change::(architecture)</v>
      </c>
      <c r="H225" s="4" t="str">
        <f aca="false">IFERROR(__xludf.dummyfunction("""COMPUTED_VALUE"""),"providing::clarification::about::project::(version)")</f>
        <v>providing::clarification::about::project::(version)</v>
      </c>
    </row>
    <row r="226" customFormat="false" ht="15.75" hidden="false" customHeight="false" outlineLevel="0" collapsed="false">
      <c r="A226" s="3" t="s">
        <v>1873</v>
      </c>
      <c r="B226" s="3" t="str">
        <f aca="false">IF(COUNTIF(Final_CB_R8_V5!$B$8:$B$20345,A226)&gt;=1,"YES","NO")</f>
        <v>YES</v>
      </c>
      <c r="C226" s="3" t="s">
        <v>1874</v>
      </c>
      <c r="D226" s="3" t="str">
        <f aca="false">IF(COUNTIF(Final_CB_R8_V5!$C$8:$C$2345,C226)&gt;=1,"YES","NO")</f>
        <v>YES</v>
      </c>
      <c r="F226" s="4" t="str">
        <f aca="false">IFERROR(__xludf.dummyfunction("""COMPUTED_VALUE"""),"suggestion::content::change::(missing::info::commit::message)")</f>
        <v>suggestion::content::change::(missing::info::commit::message)</v>
      </c>
      <c r="G226" s="4" t="str">
        <f aca="false">IFERROR(__xludf.dummyfunction("""COMPUTED_VALUE"""),"objecting::suggestion::change::(change::method)")</f>
        <v>objecting::suggestion::change::(change::method)</v>
      </c>
      <c r="H226" s="4" t="str">
        <f aca="false">IFERROR(__xludf.dummyfunction("""COMPUTED_VALUE"""),"providing::clarification::change::(change::method)")</f>
        <v>providing::clarification::change::(change::method)</v>
      </c>
    </row>
    <row r="227" customFormat="false" ht="15.75" hidden="false" customHeight="false" outlineLevel="0" collapsed="false">
      <c r="A227" s="3" t="s">
        <v>1770</v>
      </c>
      <c r="B227" s="3" t="str">
        <f aca="false">IF(COUNTIF(Final_CB_R8_V5!$B$8:$B$20345,A227)&gt;=1,"YES","NO")</f>
        <v>YES</v>
      </c>
      <c r="C227" s="3" t="s">
        <v>1875</v>
      </c>
      <c r="D227" s="3" t="str">
        <f aca="false">IF(COUNTIF(Final_CB_R8_V5!$C$8:$C$2345,C227)&gt;=1,"YES","NO")</f>
        <v>YES</v>
      </c>
      <c r="F227" s="4" t="str">
        <f aca="false">IFERROR(__xludf.dummyfunction("""COMPUTED_VALUE"""),"suggestion::content::change::(typo::commit::message)")</f>
        <v>suggestion::content::change::(typo::commit::message)</v>
      </c>
      <c r="G227" s="4" t="str">
        <f aca="false">IFERROR(__xludf.dummyfunction("""COMPUTED_VALUE"""),"objecting::suggestion::change::(change::type)")</f>
        <v>objecting::suggestion::change::(change::type)</v>
      </c>
      <c r="H227" s="4" t="str">
        <f aca="false">IFERROR(__xludf.dummyfunction("""COMPUTED_VALUE"""),"providing::clarification::change::(logging::message::clearness::and::level)")</f>
        <v>providing::clarification::change::(logging::message::clearness::and::level)</v>
      </c>
    </row>
    <row r="228" customFormat="false" ht="15.75" hidden="false" customHeight="false" outlineLevel="0" collapsed="false">
      <c r="A228" s="3" t="s">
        <v>1876</v>
      </c>
      <c r="B228" s="3" t="str">
        <f aca="false">IF(COUNTIF(Final_CB_R8_V5!$B$8:$B$20345,A228)&gt;=1,"YES","NO")</f>
        <v>YES</v>
      </c>
      <c r="C228" s="3" t="s">
        <v>1877</v>
      </c>
      <c r="D228" s="3" t="str">
        <f aca="false">IF(COUNTIF(Final_CB_R8_V5!$C$8:$C$2345,C228)&gt;=1,"YES","NO")</f>
        <v>YES</v>
      </c>
      <c r="F228" s="4" t="str">
        <f aca="false">IFERROR(__xludf.dummyfunction("""COMPUTED_VALUE"""),"suggestion::creating::followup::issue")</f>
        <v>suggestion::creating::followup::issue</v>
      </c>
      <c r="G228" s="4" t="str">
        <f aca="false">IFERROR(__xludf.dummyfunction("""COMPUTED_VALUE"""),"objecting::suggestion::change::(database::query)")</f>
        <v>objecting::suggestion::change::(database::query)</v>
      </c>
      <c r="H228" s="4" t="str">
        <f aca="false">IFERROR(__xludf.dummyfunction("""COMPUTED_VALUE"""),"providing::clarification::content::(commit::message)")</f>
        <v>providing::clarification::content::(commit::message)</v>
      </c>
    </row>
    <row r="229" customFormat="false" ht="15.75" hidden="false" customHeight="false" outlineLevel="0" collapsed="false">
      <c r="A229" s="3" t="s">
        <v>1878</v>
      </c>
      <c r="B229" s="3" t="str">
        <f aca="false">IF(COUNTIF(Final_CB_R8_V5!$B$8:$B$20345,A229)&gt;=1,"YES","NO")</f>
        <v>YES</v>
      </c>
      <c r="C229" s="3" t="s">
        <v>1879</v>
      </c>
      <c r="D229" s="3" t="str">
        <f aca="false">IF(COUNTIF(Final_CB_R8_V5!$C$8:$C$2345,C229)&gt;=1,"YES","NO")</f>
        <v>YES</v>
      </c>
      <c r="F229" s="4" t="str">
        <f aca="false">IFERROR(__xludf.dummyfunction("""COMPUTED_VALUE"""),"suggestion::DB::migration::(need)")</f>
        <v>suggestion::DB::migration::(need)</v>
      </c>
      <c r="G229" s="4" t="str">
        <f aca="false">IFERROR(__xludf.dummyfunction("""COMPUTED_VALUE"""),"objecting::suggestion::change::(default::values)")</f>
        <v>objecting::suggestion::change::(default::values)</v>
      </c>
      <c r="H229" s="4" t="str">
        <f aca="false">IFERROR(__xludf.dummyfunction("""COMPUTED_VALUE"""),"providing::clarification::developing::process::(code::and::managment::of::patches)")</f>
        <v>providing::clarification::developing::process::(code::and::managment::of::patches)</v>
      </c>
    </row>
    <row r="230" customFormat="false" ht="15.75" hidden="false" customHeight="false" outlineLevel="0" collapsed="false">
      <c r="A230" s="3" t="s">
        <v>1880</v>
      </c>
      <c r="B230" s="3" t="str">
        <f aca="false">IF(COUNTIF(Final_CB_R8_V5!$B$8:$B$20345,A230)&gt;=1,"YES","NO")</f>
        <v>YES</v>
      </c>
      <c r="C230" s="3" t="s">
        <v>1881</v>
      </c>
      <c r="D230" s="3" t="str">
        <f aca="false">IF(COUNTIF(Final_CB_R8_V5!$C$8:$C$2345,C230)&gt;=1,"YES","NO")</f>
        <v>YES</v>
      </c>
      <c r="F230" s="4" t="str">
        <f aca="false">IFERROR(__xludf.dummyfunction("""COMPUTED_VALUE"""),"suggestion::ignore::backwards::compatebility")</f>
        <v>suggestion::ignore::backwards::compatebility</v>
      </c>
      <c r="G230" s="4" t="str">
        <f aca="false">IFERROR(__xludf.dummyfunction("""COMPUTED_VALUE"""),"objecting::suggestion::change::(documentation)")</f>
        <v>objecting::suggestion::change::(documentation)</v>
      </c>
      <c r="H230" s="4" t="str">
        <f aca="false">IFERROR(__xludf.dummyfunction("""COMPUTED_VALUE"""),"providing::clarification::developing::process::(need::to::file::BP)")</f>
        <v>providing::clarification::developing::process::(need::to::file::BP)</v>
      </c>
    </row>
    <row r="231" customFormat="false" ht="15.75" hidden="false" customHeight="false" outlineLevel="0" collapsed="false">
      <c r="A231" s="3" t="s">
        <v>1782</v>
      </c>
      <c r="B231" s="3" t="str">
        <f aca="false">IF(COUNTIF(Final_CB_R8_V5!$B$8:$B$20345,A231)&gt;=1,"YES","NO")</f>
        <v>YES</v>
      </c>
      <c r="C231" s="3" t="s">
        <v>1882</v>
      </c>
      <c r="D231" s="3" t="str">
        <f aca="false">IF(COUNTIF(Final_CB_R8_V5!$C$8:$C$2345,C231)&gt;=1,"YES","NO")</f>
        <v>YES</v>
      </c>
      <c r="F231" s="4" t="str">
        <f aca="false">IFERROR(__xludf.dummyfunction("""COMPUTED_VALUE"""),"suggestion::postpone::additional::changes")</f>
        <v>suggestion::postpone::additional::changes</v>
      </c>
      <c r="G231" s="4" t="str">
        <f aca="false">IFERROR(__xludf.dummyfunction("""COMPUTED_VALUE"""),"objecting::suggestion::change::(error::handling)")</f>
        <v>objecting::suggestion::change::(error::handling)</v>
      </c>
      <c r="H231" s="4" t="str">
        <f aca="false">IFERROR(__xludf.dummyfunction("""COMPUTED_VALUE"""),"providing::clarification::implications::of::suggestion::refactoring::(move::logic::parent::class::instead::of::sub::classes)")</f>
        <v>providing::clarification::implications::of::suggestion::refactoring::(move::logic::parent::class::instead::of::sub::classes)</v>
      </c>
    </row>
    <row r="232" customFormat="false" ht="15.75" hidden="false" customHeight="false" outlineLevel="0" collapsed="false">
      <c r="A232" s="3" t="s">
        <v>1783</v>
      </c>
      <c r="B232" s="3" t="str">
        <f aca="false">IF(COUNTIF(Final_CB_R8_V5!$B$8:$B$20345,A232)&gt;=1,"YES","NO")</f>
        <v>YES</v>
      </c>
      <c r="C232" s="3" t="s">
        <v>1883</v>
      </c>
      <c r="D232" s="3" t="str">
        <f aca="false">IF(COUNTIF(Final_CB_R8_V5!$C$8:$C$2345,C232)&gt;=1,"YES","NO")</f>
        <v>YES</v>
      </c>
      <c r="F232" s="4" t="str">
        <f aca="false">IFERROR(__xludf.dummyfunction("""COMPUTED_VALUE"""),"suggestion::refactoring::(change::input::parameter)")</f>
        <v>suggestion::refactoring::(change::input::parameter)</v>
      </c>
      <c r="G232" s="4" t="str">
        <f aca="false">IFERROR(__xludf.dummyfunction("""COMPUTED_VALUE"""),"objecting::suggestion::change::(exception::type)")</f>
        <v>objecting::suggestion::change::(exception::type)</v>
      </c>
      <c r="H232" s="4" t="str">
        <f aca="false">IFERROR(__xludf.dummyfunction("""COMPUTED_VALUE"""),"providing::clarification::noticing::comment::not::addressed::(previous::patch)")</f>
        <v>providing::clarification::noticing::comment::not::addressed::(previous::patch)</v>
      </c>
    </row>
    <row r="233" customFormat="false" ht="15.75" hidden="false" customHeight="false" outlineLevel="0" collapsed="false">
      <c r="A233" s="3" t="s">
        <v>1785</v>
      </c>
      <c r="B233" s="3" t="str">
        <f aca="false">IF(COUNTIF(Final_CB_R8_V5!$B$8:$B$20345,A233)&gt;=1,"YES","NO")</f>
        <v>YES</v>
      </c>
      <c r="C233" s="3" t="s">
        <v>1884</v>
      </c>
      <c r="D233" s="3" t="str">
        <f aca="false">IF(COUNTIF(Final_CB_R8_V5!$C$8:$C$2345,C233)&gt;=1,"YES","NO")</f>
        <v>YES</v>
      </c>
      <c r="F233" s="4" t="str">
        <f aca="false">IFERROR(__xludf.dummyfunction("""COMPUTED_VALUE"""),"suggestion::refactoring::(change::location::of::code)")</f>
        <v>suggestion::refactoring::(change::location::of::code)</v>
      </c>
      <c r="G233" s="4" t="str">
        <f aca="false">IFERROR(__xludf.dummyfunction("""COMPUTED_VALUE"""),"objecting::suggestion::change::(functionallity)")</f>
        <v>objecting::suggestion::change::(functionallity)</v>
      </c>
      <c r="H233" s="4" t="str">
        <f aca="false">IFERROR(__xludf.dummyfunction("""COMPUTED_VALUE"""),"providing::clarification::previous::version::(deliberate)")</f>
        <v>providing::clarification::previous::version::(deliberate)</v>
      </c>
    </row>
    <row r="234" customFormat="false" ht="15.75" hidden="false" customHeight="false" outlineLevel="0" collapsed="false">
      <c r="A234" s="3" t="s">
        <v>1792</v>
      </c>
      <c r="B234" s="3" t="str">
        <f aca="false">IF(COUNTIF(Final_CB_R8_V5!$B$8:$B$20345,A234)&gt;=1,"YES","NO")</f>
        <v>YES</v>
      </c>
      <c r="C234" s="3" t="s">
        <v>1885</v>
      </c>
      <c r="D234" s="3" t="str">
        <f aca="false">IF(COUNTIF(Final_CB_R8_V5!$C$8:$C$2345,C234)&gt;=1,"YES","NO")</f>
        <v>YES</v>
      </c>
      <c r="F234" s="4" t="str">
        <f aca="false">IFERROR(__xludf.dummyfunction("""COMPUTED_VALUE"""),"suggestion::refactoring::(cleaner::code)")</f>
        <v>suggestion::refactoring::(cleaner::code)</v>
      </c>
      <c r="G234" s="4" t="str">
        <f aca="false">IFERROR(__xludf.dummyfunction("""COMPUTED_VALUE"""),"objecting::suggestion::change::(logic)")</f>
        <v>objecting::suggestion::change::(logic)</v>
      </c>
      <c r="H234" s="4" t="str">
        <f aca="false">IFERROR(__xludf.dummyfunction("""COMPUTED_VALUE"""),"providing::confirmation::of::intended::solution")</f>
        <v>providing::confirmation::of::intended::solution</v>
      </c>
    </row>
    <row r="235" customFormat="false" ht="15.75" hidden="false" customHeight="false" outlineLevel="0" collapsed="false">
      <c r="A235" s="3" t="s">
        <v>1886</v>
      </c>
      <c r="B235" s="3" t="str">
        <f aca="false">IF(COUNTIF(Final_CB_R8_V5!$B$8:$B$20345,A235)&gt;=1,"YES","NO")</f>
        <v>YES</v>
      </c>
      <c r="C235" s="3" t="s">
        <v>1887</v>
      </c>
      <c r="D235" s="3" t="str">
        <f aca="false">IF(COUNTIF(Final_CB_R8_V5!$C$8:$C$2345,C235)&gt;=1,"YES","NO")</f>
        <v>YES</v>
      </c>
      <c r="F235" s="4" t="str">
        <f aca="false">IFERROR(__xludf.dummyfunction("""COMPUTED_VALUE"""),"suggestion::refactoring::(cleaner::code)::with::code")</f>
        <v>suggestion::refactoring::(cleaner::code)::with::code</v>
      </c>
      <c r="G235" s="4" t="str">
        <f aca="false">IFERROR(__xludf.dummyfunction("""COMPUTED_VALUE"""),"objecting::suggestion::change::(test::design)")</f>
        <v>objecting::suggestion::change::(test::design)</v>
      </c>
      <c r="H235" s="4" t="str">
        <f aca="false">IFERROR(__xludf.dummyfunction("""COMPUTED_VALUE"""),"providing::instructions::for::current:.development:.cycle")</f>
        <v>providing::instructions::for::current:.development:.cycle</v>
      </c>
    </row>
    <row r="236" customFormat="false" ht="15.75" hidden="false" customHeight="false" outlineLevel="0" collapsed="false">
      <c r="A236" s="3" t="s">
        <v>1795</v>
      </c>
      <c r="B236" s="3" t="str">
        <f aca="false">IF(COUNTIF(Final_CB_R8_V5!$B$8:$B$20345,A236)&gt;=1,"YES","NO")</f>
        <v>YES</v>
      </c>
      <c r="C236" s="3" t="s">
        <v>1888</v>
      </c>
      <c r="D236" s="3" t="str">
        <f aca="false">IF(COUNTIF(Final_CB_R8_V5!$C$8:$C$2345,C236)&gt;=1,"YES","NO")</f>
        <v>YES</v>
      </c>
      <c r="F236" s="4" t="str">
        <f aca="false">IFERROR(__xludf.dummyfunction("""COMPUTED_VALUE"""),"suggestion::refactoring::(clearer::code)")</f>
        <v>suggestion::refactoring::(clearer::code)</v>
      </c>
      <c r="G236" s="4" t="str">
        <f aca="false">IFERROR(__xludf.dummyfunction("""COMPUTED_VALUE"""),"objecting::suggestion::change::(typo)")</f>
        <v>objecting::suggestion::change::(typo)</v>
      </c>
      <c r="H236" s="4" t="str">
        <f aca="false">IFERROR(__xludf.dummyfunction("""COMPUTED_VALUE"""),"providing::instructions::for::release::next:.development:.cycle")</f>
        <v>providing::instructions::for::release::next:.development:.cycle</v>
      </c>
    </row>
    <row r="237" customFormat="false" ht="15.75" hidden="false" customHeight="false" outlineLevel="0" collapsed="false">
      <c r="A237" s="3" t="s">
        <v>1889</v>
      </c>
      <c r="B237" s="3" t="str">
        <f aca="false">IF(COUNTIF(Final_CB_R8_V5!$B$8:$B$20345,A237)&gt;=1,"YES","NO")</f>
        <v>YES</v>
      </c>
      <c r="C237" s="3" t="s">
        <v>1890</v>
      </c>
      <c r="D237" s="3" t="str">
        <f aca="false">IF(COUNTIF(Final_CB_R8_V5!$C$8:$C$2345,C237)&gt;=1,"YES","NO")</f>
        <v>YES</v>
      </c>
      <c r="F237" s="4" t="str">
        <f aca="false">IFERROR(__xludf.dummyfunction("""COMPUTED_VALUE"""),"suggestion::refactoring::(config::file::new::group)")</f>
        <v>suggestion::refactoring::(config::file::new::group)</v>
      </c>
      <c r="G237" s="4" t="str">
        <f aca="false">IFERROR(__xludf.dummyfunction("""COMPUTED_VALUE"""),"objecting::suggestion::change::(use::method/function)")</f>
        <v>objecting::suggestion::change::(use::method/function)</v>
      </c>
      <c r="H237" s="4" t="str">
        <f aca="false">IFERROR(__xludf.dummyfunction("""COMPUTED_VALUE"""),"providing::justification::about::code::(reason::of::the::design::tests)")</f>
        <v>providing::justification::about::code::(reason::of::the::design::tests)</v>
      </c>
    </row>
    <row r="238" customFormat="false" ht="15.75" hidden="false" customHeight="false" outlineLevel="0" collapsed="false">
      <c r="A238" s="3" t="s">
        <v>1891</v>
      </c>
      <c r="B238" s="3" t="str">
        <f aca="false">IF(COUNTIF(Final_CB_R8_V5!$B$8:$B$20345,A238)&gt;=1,"YES","NO")</f>
        <v>YES</v>
      </c>
      <c r="C238" s="3" t="s">
        <v>1892</v>
      </c>
      <c r="D238" s="3" t="str">
        <f aca="false">IF(COUNTIF(Final_CB_R8_V5!$C$8:$C$2345,C238)&gt;=1,"YES","NO")</f>
        <v>YES</v>
      </c>
      <c r="F238" s="4" t="str">
        <f aca="false">IFERROR(__xludf.dummyfunction("""COMPUTED_VALUE"""),"suggestion::refactoring::(consistency)")</f>
        <v>suggestion::refactoring::(consistency)</v>
      </c>
      <c r="G238" s="4" t="str">
        <f aca="false">IFERROR(__xludf.dummyfunction("""COMPUTED_VALUE"""),"objecting::suggestion::change::(versioning)")</f>
        <v>objecting::suggestion::change::(versioning)</v>
      </c>
      <c r="H238" s="4" t="str">
        <f aca="false">IFERROR(__xludf.dummyfunction("""COMPUTED_VALUE"""),"providing::justification::about::code::(reason::of::the::type::choices)")</f>
        <v>providing::justification::about::code::(reason::of::the::type::choices)</v>
      </c>
    </row>
    <row r="239" customFormat="false" ht="15.75" hidden="false" customHeight="false" outlineLevel="0" collapsed="false">
      <c r="A239" s="3" t="s">
        <v>494</v>
      </c>
      <c r="B239" s="3" t="str">
        <f aca="false">IF(COUNTIF(Final_CB_R8_V5!$B$8:$B$20345,A239)&gt;=1,"YES","NO")</f>
        <v>YES</v>
      </c>
      <c r="C239" s="3" t="s">
        <v>1893</v>
      </c>
      <c r="D239" s="3" t="str">
        <f aca="false">IF(COUNTIF(Final_CB_R8_V5!$C$8:$C$2345,C239)&gt;=1,"YES","NO")</f>
        <v>YES</v>
      </c>
      <c r="F239" s="4" t="str">
        <f aca="false">IFERROR(__xludf.dummyfunction("""COMPUTED_VALUE"""),"suggestion::refactoring::(introduce::parameter::defaults)")</f>
        <v>suggestion::refactoring::(introduce::parameter::defaults)</v>
      </c>
      <c r="G239" s="4" t="str">
        <f aca="false">IFERROR(__xludf.dummyfunction("""COMPUTED_VALUE"""),"objecting::suggestion::move:.the::changes:.to::different::patch::(new::patch)")</f>
        <v>objecting::suggestion::move:.the::changes:.to::different::patch::(new::patch)</v>
      </c>
      <c r="H239" s="4" t="str">
        <f aca="false">IFERROR(__xludf.dummyfunction("""COMPUTED_VALUE"""),"providing::justification::about::voting::(importance::to::include::the::change)")</f>
        <v>providing::justification::about::voting::(importance::to::include::the::change)</v>
      </c>
    </row>
    <row r="240" customFormat="false" ht="15.75" hidden="false" customHeight="false" outlineLevel="0" collapsed="false">
      <c r="A240" s="3" t="s">
        <v>1806</v>
      </c>
      <c r="B240" s="3" t="str">
        <f aca="false">IF(COUNTIF(Final_CB_R8_V5!$B$8:$B$20345,A240)&gt;=1,"YES","NO")</f>
        <v>YES</v>
      </c>
      <c r="C240" s="3" t="s">
        <v>1894</v>
      </c>
      <c r="D240" s="3" t="str">
        <f aca="false">IF(COUNTIF(Final_CB_R8_V5!$C$8:$C$2345,C240)&gt;=1,"YES","NO")</f>
        <v>YES</v>
      </c>
      <c r="F240" s="4" t="str">
        <f aca="false">IFERROR(__xludf.dummyfunction("""COMPUTED_VALUE"""),"suggestion::refactoring::(move::logic)")</f>
        <v>suggestion::refactoring::(move::logic)</v>
      </c>
      <c r="G240" s="4" t="str">
        <f aca="false">IFERROR(__xludf.dummyfunction("""COMPUTED_VALUE"""),"objecting::suggestion::refactoring::(config::file::new::group)")</f>
        <v>objecting::suggestion::refactoring::(config::file::new::group)</v>
      </c>
      <c r="H240" s="4" t="str">
        <f aca="false">IFERROR(__xludf.dummyfunction("""COMPUTED_VALUE"""),"providing::pros::and::cons:.change:.design")</f>
        <v>providing::pros::and::cons:.change:.design</v>
      </c>
    </row>
    <row r="241" customFormat="false" ht="15.75" hidden="false" customHeight="false" outlineLevel="0" collapsed="false">
      <c r="A241" s="3" t="s">
        <v>1808</v>
      </c>
      <c r="B241" s="3" t="str">
        <f aca="false">IF(COUNTIF(Final_CB_R8_V5!$B$8:$B$20345,A241)&gt;=1,"YES","NO")</f>
        <v>YES</v>
      </c>
      <c r="C241" s="3" t="s">
        <v>1895</v>
      </c>
      <c r="D241" s="3" t="str">
        <f aca="false">IF(COUNTIF(Final_CB_R8_V5!$C$8:$C$2345,C241)&gt;=1,"YES","NO")</f>
        <v>YES</v>
      </c>
      <c r="F241" s="4" t="str">
        <f aca="false">IFERROR(__xludf.dummyfunction("""COMPUTED_VALUE"""),"suggestion::refactoring::(performance)")</f>
        <v>suggestion::refactoring::(performance)</v>
      </c>
      <c r="G241" s="4" t="str">
        <f aca="false">IFERROR(__xludf.dummyfunction("""COMPUTED_VALUE"""),"objecting::suggestion::refactoring::(duplications)")</f>
        <v>objecting::suggestion::refactoring::(duplications)</v>
      </c>
      <c r="H241" s="4" t="str">
        <f aca="false">IFERROR(__xludf.dummyfunction("""COMPUTED_VALUE"""),"providing::solution::to:.design::challenge::(responsability::another::project:.(e.g.,ironic)")</f>
        <v>providing::solution::to:.design::challenge::(responsability::another::project:.(e.g.,ironic)</v>
      </c>
    </row>
    <row r="242" customFormat="false" ht="15.75" hidden="false" customHeight="false" outlineLevel="0" collapsed="false">
      <c r="A242" s="3" t="s">
        <v>1896</v>
      </c>
      <c r="B242" s="3" t="str">
        <f aca="false">IF(COUNTIF(Final_CB_R8_V5!$B$8:$B$20345,A242)&gt;=1,"YES","NO")</f>
        <v>YES</v>
      </c>
      <c r="C242" s="3" t="s">
        <v>1897</v>
      </c>
      <c r="D242" s="3" t="str">
        <f aca="false">IF(COUNTIF(Final_CB_R8_V5!$C$8:$C$2345,C242)&gt;=1,"YES","NO")</f>
        <v>YES</v>
      </c>
      <c r="F242" s="4" t="str">
        <f aca="false">IFERROR(__xludf.dummyfunction("""COMPUTED_VALUE"""),"suggestion::refactoring::(performance)::with::code")</f>
        <v>suggestion::refactoring::(performance)::with::code</v>
      </c>
      <c r="G242" s="4" t="str">
        <f aca="false">IFERROR(__xludf.dummyfunction("""COMPUTED_VALUE"""),"objecting::suggestion::refactoring::(naming::variable)")</f>
        <v>objecting::suggestion::refactoring::(naming::variable)</v>
      </c>
      <c r="H242" s="4" t="str">
        <f aca="false">IFERROR(__xludf.dummyfunction("""COMPUTED_VALUE"""),"ready::approval::for::submitting")</f>
        <v>ready::approval::for::submitting</v>
      </c>
    </row>
    <row r="243" customFormat="false" ht="15.75" hidden="false" customHeight="false" outlineLevel="0" collapsed="false">
      <c r="A243" s="3" t="s">
        <v>1815</v>
      </c>
      <c r="B243" s="3" t="str">
        <f aca="false">IF(COUNTIF(Final_CB_R8_V5!$B$8:$B$20345,A243)&gt;=1,"YES","NO")</f>
        <v>YES</v>
      </c>
      <c r="C243" s="3" t="s">
        <v>1898</v>
      </c>
      <c r="D243" s="3" t="str">
        <f aca="false">IF(COUNTIF(Final_CB_R8_V5!$C$8:$C$2345,C243)&gt;=1,"YES","NO")</f>
        <v>YES</v>
      </c>
      <c r="F243" s="4" t="str">
        <f aca="false">IFERROR(__xludf.dummyfunction("""COMPUTED_VALUE"""),"suggestion::refactoring::(remove::parameter::defaults)")</f>
        <v>suggestion::refactoring::(remove::parameter::defaults)</v>
      </c>
      <c r="G243" s="4" t="str">
        <f aca="false">IFERROR(__xludf.dummyfunction("""COMPUTED_VALUE"""),"objecting::suggestion::refactoring::(optional::improvement)")</f>
        <v>objecting::suggestion::refactoring::(optional::improvement)</v>
      </c>
      <c r="H243" s="4" t="str">
        <f aca="false">IFERROR(__xludf.dummyfunction("""COMPUTED_VALUE"""),"ready::approval::for::submitting10")</f>
        <v>ready::approval::for::submitting10</v>
      </c>
    </row>
    <row r="244" customFormat="false" ht="15.75" hidden="false" customHeight="false" outlineLevel="0" collapsed="false">
      <c r="A244" s="3" t="s">
        <v>1899</v>
      </c>
      <c r="B244" s="3" t="str">
        <f aca="false">IF(COUNTIF(Final_CB_R8_V5!$B$8:$B$20345,A244)&gt;=1,"YES","NO")</f>
        <v>YES</v>
      </c>
      <c r="C244" s="3" t="s">
        <v>1900</v>
      </c>
      <c r="D244" s="3" t="str">
        <f aca="false">IF(COUNTIF(Final_CB_R8_V5!$C$8:$C$2345,C244)&gt;=1,"YES","NO")</f>
        <v>YES</v>
      </c>
      <c r="F244" s="4" t="str">
        <f aca="false">IFERROR(__xludf.dummyfunction("""COMPUTED_VALUE"""),"suggestion::refactoring::(remove::unnecessary::parameter)")</f>
        <v>suggestion::refactoring::(remove::unnecessary::parameter)</v>
      </c>
      <c r="G244" s="4" t="str">
        <f aca="false">IFERROR(__xludf.dummyfunction("""COMPUTED_VALUE"""),"objecting::suggestion::refactoring::(out::of::scope)")</f>
        <v>objecting::suggestion::refactoring::(out::of::scope)</v>
      </c>
      <c r="H244" s="4" t="str">
        <f aca="false">IFERROR(__xludf.dummyfunction("""COMPUTED_VALUE"""),"ready::approval::for::submitting10::(core::reviewer)")</f>
        <v>ready::approval::for::submitting10::(core::reviewer)</v>
      </c>
    </row>
    <row r="245" customFormat="false" ht="15.75" hidden="false" customHeight="false" outlineLevel="0" collapsed="false">
      <c r="A245" s="3" t="s">
        <v>1901</v>
      </c>
      <c r="B245" s="3" t="str">
        <f aca="false">IF(COUNTIF(Final_CB_R8_V5!$B$8:$B$20345,A245)&gt;=1,"YES","NO")</f>
        <v>YES</v>
      </c>
      <c r="C245" s="3" t="s">
        <v>1902</v>
      </c>
      <c r="D245" s="3" t="str">
        <f aca="false">IF(COUNTIF(Final_CB_R8_V5!$C$8:$C$2345,C245)&gt;=1,"YES","NO")</f>
        <v>YES</v>
      </c>
      <c r="F245" s="4" t="str">
        <f aca="false">IFERROR(__xludf.dummyfunction("""COMPUTED_VALUE"""),"suggestion::refactoring::(removing::not::thread::safe::code)")</f>
        <v>suggestion::refactoring::(removing::not::thread::safe::code)</v>
      </c>
      <c r="G245" s="4" t="str">
        <f aca="false">IFERROR(__xludf.dummyfunction("""COMPUTED_VALUE"""),"objecting::suggestion::refactoring::(performance)::with::code")</f>
        <v>objecting::suggestion::refactoring::(performance)::with::code</v>
      </c>
      <c r="H245" s="4" t="str">
        <f aca="false">IFERROR(__xludf.dummyfunction("""COMPUTED_VALUE"""),"ready::approval::for::submitting11")</f>
        <v>ready::approval::for::submitting11</v>
      </c>
    </row>
    <row r="246" customFormat="false" ht="15.75" hidden="false" customHeight="false" outlineLevel="0" collapsed="false">
      <c r="A246" s="3" t="s">
        <v>1819</v>
      </c>
      <c r="B246" s="3" t="str">
        <f aca="false">IF(COUNTIF(Final_CB_R8_V5!$B$8:$B$20345,A246)&gt;=1,"YES","NO")</f>
        <v>YES</v>
      </c>
      <c r="C246" s="3" t="s">
        <v>1903</v>
      </c>
      <c r="D246" s="3" t="str">
        <f aca="false">IF(COUNTIF(Final_CB_R8_V5!$C$8:$C$2345,C246)&gt;=1,"YES","NO")</f>
        <v>YES</v>
      </c>
      <c r="F246" s="4" t="str">
        <f aca="false">IFERROR(__xludf.dummyfunction("""COMPUTED_VALUE"""),"suggestion::refactoring::(removing::unnecessary::code)")</f>
        <v>suggestion::refactoring::(removing::unnecessary::code)</v>
      </c>
      <c r="G246" s="4" t="str">
        <f aca="false">IFERROR(__xludf.dummyfunction("""COMPUTED_VALUE"""),"objecting::suggestion::refactoring::(test::naming)")</f>
        <v>objecting::suggestion::refactoring::(test::naming)</v>
      </c>
      <c r="H246" s="4" t="str">
        <f aca="false">IFERROR(__xludf.dummyfunction("""COMPUTED_VALUE"""),"ready::approval::for::submitting11::(core::reviewer)")</f>
        <v>ready::approval::for::submitting11::(core::reviewer)</v>
      </c>
    </row>
    <row r="247" customFormat="false" ht="15.75" hidden="false" customHeight="false" outlineLevel="0" collapsed="false">
      <c r="A247" s="3" t="s">
        <v>1821</v>
      </c>
      <c r="B247" s="3" t="str">
        <f aca="false">IF(COUNTIF(Final_CB_R8_V5!$B$8:$B$20345,A247)&gt;=1,"YES","NO")</f>
        <v>YES</v>
      </c>
      <c r="C247" s="3" t="s">
        <v>1904</v>
      </c>
      <c r="D247" s="3" t="str">
        <f aca="false">IF(COUNTIF(Final_CB_R8_V5!$C$8:$C$2345,C247)&gt;=1,"YES","NO")</f>
        <v>YES</v>
      </c>
      <c r="F247" s="4" t="str">
        <f aca="false">IFERROR(__xludf.dummyfunction("""COMPUTED_VALUE"""),"suggestion::refactoring::(renaming)")</f>
        <v>suggestion::refactoring::(renaming)</v>
      </c>
      <c r="G247" s="4" t="str">
        <f aca="false">IFERROR(__xludf.dummyfunction("""COMPUTED_VALUE"""),"objecting::suggestion::refactoring::(unnecesary::code)")</f>
        <v>objecting::suggestion::refactoring::(unnecesary::code)</v>
      </c>
      <c r="H247" s="4" t="str">
        <f aca="false">IFERROR(__xludf.dummyfunction("""COMPUTED_VALUE"""),"ready::approval::for::submitting12")</f>
        <v>ready::approval::for::submitting12</v>
      </c>
    </row>
    <row r="248" customFormat="false" ht="15.75" hidden="false" customHeight="false" outlineLevel="0" collapsed="false">
      <c r="A248" s="3" t="s">
        <v>1822</v>
      </c>
      <c r="B248" s="3" t="str">
        <f aca="false">IF(COUNTIF(Final_CB_R8_V5!$B$8:$B$20345,A248)&gt;=1,"YES","NO")</f>
        <v>YES</v>
      </c>
      <c r="C248" s="3" t="s">
        <v>1905</v>
      </c>
      <c r="D248" s="3" t="str">
        <f aca="false">IF(COUNTIF(Final_CB_R8_V5!$C$8:$C$2345,C248)&gt;=1,"YES","NO")</f>
        <v>YES</v>
      </c>
      <c r="F248" s="4" t="str">
        <f aca="false">IFERROR(__xludf.dummyfunction("""COMPUTED_VALUE"""),"suggestion::refactoring::(simpler::code)")</f>
        <v>suggestion::refactoring::(simpler::code)</v>
      </c>
      <c r="G248" s="4" t="str">
        <f aca="false">IFERROR(__xludf.dummyfunction("""COMPUTED_VALUE"""),"objecting::suggestion::refactoring::(unnecesary::loop)")</f>
        <v>objecting::suggestion::refactoring::(unnecesary::loop)</v>
      </c>
      <c r="H248" s="4" t="str">
        <f aca="false">IFERROR(__xludf.dummyfunction("""COMPUTED_VALUE"""),"ready::approval::for::submitting12::(core::reviewer)")</f>
        <v>ready::approval::for::submitting12::(core::reviewer)</v>
      </c>
    </row>
    <row r="249" customFormat="false" ht="15.75" hidden="false" customHeight="false" outlineLevel="0" collapsed="false">
      <c r="A249" s="3" t="s">
        <v>1823</v>
      </c>
      <c r="B249" s="3" t="str">
        <f aca="false">IF(COUNTIF(Final_CB_R8_V5!$B$8:$B$20345,A249)&gt;=1,"YES","NO")</f>
        <v>YES</v>
      </c>
      <c r="C249" s="3" t="s">
        <v>1906</v>
      </c>
      <c r="D249" s="3" t="str">
        <f aca="false">IF(COUNTIF(Final_CB_R8_V5!$C$8:$C$2345,C249)&gt;=1,"YES","NO")</f>
        <v>YES</v>
      </c>
      <c r="F249" s="4" t="str">
        <f aca="false">IFERROR(__xludf.dummyfunction("""COMPUTED_VALUE"""),"suggestion::refactoring::(split::method)")</f>
        <v>suggestion::refactoring::(split::method)</v>
      </c>
      <c r="G249" s="4" t="str">
        <f aca="false">IFERROR(__xludf.dummyfunction("""COMPUTED_VALUE"""),"objecting::suggestion::refactoring::(use::decorators)")</f>
        <v>objecting::suggestion::refactoring::(use::decorators)</v>
      </c>
      <c r="H249" s="4" t="str">
        <f aca="false">IFERROR(__xludf.dummyfunction("""COMPUTED_VALUE"""),"ready::approval::for::submitting13")</f>
        <v>ready::approval::for::submitting13</v>
      </c>
    </row>
    <row r="250" customFormat="false" ht="15.75" hidden="false" customHeight="false" outlineLevel="0" collapsed="false">
      <c r="A250" s="3" t="s">
        <v>1825</v>
      </c>
      <c r="B250" s="3" t="str">
        <f aca="false">IF(COUNTIF(Final_CB_R8_V5!$B$8:$B$20345,A250)&gt;=1,"YES","NO")</f>
        <v>YES</v>
      </c>
      <c r="C250" s="3" t="s">
        <v>1907</v>
      </c>
      <c r="D250" s="3" t="str">
        <f aca="false">IF(COUNTIF(Final_CB_R8_V5!$C$8:$C$2345,C250)&gt;=1,"YES","NO")</f>
        <v>YES</v>
      </c>
      <c r="F250" s="4" t="str">
        <f aca="false">IFERROR(__xludf.dummyfunction("""COMPUTED_VALUE"""),"suggestion::refactoring::(steps::to::accomplish::it)")</f>
        <v>suggestion::refactoring::(steps::to::accomplish::it)</v>
      </c>
      <c r="G250" s="4" t="str">
        <f aca="false">IFERROR(__xludf.dummyfunction("""COMPUTED_VALUE"""),"objecting::wait::for::next::release")</f>
        <v>objecting::wait::for::next::release</v>
      </c>
      <c r="H250" s="4" t="str">
        <f aca="false">IFERROR(__xludf.dummyfunction("""COMPUTED_VALUE"""),"ready::approval::for::submitting13::(core::reviewer)")</f>
        <v>ready::approval::for::submitting13::(core::reviewer)</v>
      </c>
    </row>
    <row r="251" customFormat="false" ht="15.75" hidden="false" customHeight="false" outlineLevel="0" collapsed="false">
      <c r="A251" s="3" t="s">
        <v>1827</v>
      </c>
      <c r="B251" s="3" t="str">
        <f aca="false">IF(COUNTIF(Final_CB_R8_V5!$B$8:$B$20345,A251)&gt;=1,"YES","NO")</f>
        <v>YES</v>
      </c>
      <c r="C251" s="3" t="s">
        <v>1908</v>
      </c>
      <c r="D251" s="3" t="str">
        <f aca="false">IF(COUNTIF(Final_CB_R8_V5!$C$8:$C$2345,C251)&gt;=1,"YES","NO")</f>
        <v>YES</v>
      </c>
      <c r="F251" s="4" t="str">
        <f aca="false">IFERROR(__xludf.dummyfunction("""COMPUTED_VALUE"""),"suggestion::refactoring::(steps::to::accomplish::it)::with::code")</f>
        <v>suggestion::refactoring::(steps::to::accomplish::it)::with::code</v>
      </c>
      <c r="G251" s="4" t="str">
        <f aca="false">IFERROR(__xludf.dummyfunction("""COMPUTED_VALUE"""),"objection::suggestion::change::(new::dependency)")</f>
        <v>objection::suggestion::change::(new::dependency)</v>
      </c>
      <c r="H251" s="4" t="str">
        <f aca="false">IFERROR(__xludf.dummyfunction("""COMPUTED_VALUE"""),"ready::approval::for::submitting14")</f>
        <v>ready::approval::for::submitting14</v>
      </c>
    </row>
    <row r="252" customFormat="false" ht="15.75" hidden="false" customHeight="false" outlineLevel="0" collapsed="false">
      <c r="A252" s="3" t="s">
        <v>1829</v>
      </c>
      <c r="B252" s="3" t="str">
        <f aca="false">IF(COUNTIF(Final_CB_R8_V5!$B$8:$B$20345,A252)&gt;=1,"YES","NO")</f>
        <v>YES</v>
      </c>
      <c r="C252" s="3" t="s">
        <v>1909</v>
      </c>
      <c r="D252" s="3" t="str">
        <f aca="false">IF(COUNTIF(Final_CB_R8_V5!$C$8:$C$2345,C252)&gt;=1,"YES","NO")</f>
        <v>YES</v>
      </c>
      <c r="F252" s="4" t="str">
        <f aca="false">IFERROR(__xludf.dummyfunction("""COMPUTED_VALUE"""),"suggestion::refactoring::(style)")</f>
        <v>suggestion::refactoring::(style)</v>
      </c>
      <c r="G252" s="4" t="str">
        <f aca="false">IFERROR(__xludf.dummyfunction("""COMPUTED_VALUE"""),"objection::suggestion::refactoring::(split::method)")</f>
        <v>objection::suggestion::refactoring::(split::method)</v>
      </c>
      <c r="H252" s="4" t="str">
        <f aca="false">IFERROR(__xludf.dummyfunction("""COMPUTED_VALUE"""),"ready::approval::for::submitting15::(core::reviewer)")</f>
        <v>ready::approval::for::submitting15::(core::reviewer)</v>
      </c>
    </row>
    <row r="253" customFormat="false" ht="15.75" hidden="false" customHeight="false" outlineLevel="0" collapsed="false">
      <c r="A253" s="3" t="s">
        <v>1910</v>
      </c>
      <c r="B253" s="3" t="str">
        <f aca="false">IF(COUNTIF(Final_CB_R8_V5!$B$8:$B$20345,A253)&gt;=1,"YES","NO")</f>
        <v>YES</v>
      </c>
      <c r="C253" s="3" t="s">
        <v>1911</v>
      </c>
      <c r="D253" s="3" t="str">
        <f aca="false">IF(COUNTIF(Final_CB_R8_V5!$C$8:$C$2345,C253)&gt;=1,"YES","NO")</f>
        <v>YES</v>
      </c>
      <c r="F253" s="4" t="str">
        <f aca="false">IFERROR(__xludf.dummyfunction("""COMPUTED_VALUE"""),"suggestion::refactoring::(style)::with::code")</f>
        <v>suggestion::refactoring::(style)::with::code</v>
      </c>
      <c r="G253" s="4" t="str">
        <f aca="false">IFERROR(__xludf.dummyfunction("""COMPUTED_VALUE"""),"other::review::is::waiting::for::this")</f>
        <v>other::review::is::waiting::for::this</v>
      </c>
      <c r="H253" s="4" t="str">
        <f aca="false">IFERROR(__xludf.dummyfunction("""COMPUTED_VALUE"""),"ready::approval::for::submitting16")</f>
        <v>ready::approval::for::submitting16</v>
      </c>
    </row>
    <row r="254" customFormat="false" ht="15.75" hidden="false" customHeight="false" outlineLevel="0" collapsed="false">
      <c r="A254" s="3" t="s">
        <v>1831</v>
      </c>
      <c r="B254" s="3" t="str">
        <f aca="false">IF(COUNTIF(Final_CB_R8_V5!$B$8:$B$20345,A254)&gt;=1,"YES","NO")</f>
        <v>YES</v>
      </c>
      <c r="C254" s="3" t="s">
        <v>1912</v>
      </c>
      <c r="D254" s="3" t="str">
        <f aca="false">IF(COUNTIF(Final_CB_R8_V5!$C$8:$C$2345,C254)&gt;=1,"YES","NO")</f>
        <v>YES</v>
      </c>
      <c r="F254" s="4" t="str">
        <f aca="false">IFERROR(__xludf.dummyfunction("""COMPUTED_VALUE"""),"suggestion::refactoring::(style::add::newline)")</f>
        <v>suggestion::refactoring::(style::add::newline)</v>
      </c>
      <c r="G254" s="4" t="str">
        <f aca="false">IFERROR(__xludf.dummyfunction("""COMPUTED_VALUE"""),"partial::implementation")</f>
        <v>partial::implementation</v>
      </c>
      <c r="H254" s="4" t="str">
        <f aca="false">IFERROR(__xludf.dummyfunction("""COMPUTED_VALUE"""),"ready::approval::for::submitting16::(core::reviewer)")</f>
        <v>ready::approval::for::submitting16::(core::reviewer)</v>
      </c>
    </row>
    <row r="255" customFormat="false" ht="15.75" hidden="false" customHeight="false" outlineLevel="0" collapsed="false">
      <c r="A255" s="3" t="s">
        <v>1835</v>
      </c>
      <c r="B255" s="3" t="str">
        <f aca="false">IF(COUNTIF(Final_CB_R8_V5!$B$8:$B$20345,A255)&gt;=1,"YES","NO")</f>
        <v>YES</v>
      </c>
      <c r="C255" s="3" t="s">
        <v>1913</v>
      </c>
      <c r="D255" s="3" t="str">
        <f aca="false">IF(COUNTIF(Final_CB_R8_V5!$C$8:$C$2345,C255)&gt;=1,"YES","NO")</f>
        <v>YES</v>
      </c>
      <c r="F255" s="4" t="str">
        <f aca="false">IFERROR(__xludf.dummyfunction("""COMPUTED_VALUE"""),"suggestion::refactoring::(style::comments/documentation)")</f>
        <v>suggestion::refactoring::(style::comments/documentation)</v>
      </c>
      <c r="G255" s="4" t="str">
        <f aca="false">IFERROR(__xludf.dummyfunction("""COMPUTED_VALUE"""),"patch::good::enough")</f>
        <v>patch::good::enough</v>
      </c>
      <c r="H255" s="4" t="str">
        <f aca="false">IFERROR(__xludf.dummyfunction("""COMPUTED_VALUE"""),"ready::approval::for::submitting17")</f>
        <v>ready::approval::for::submitting17</v>
      </c>
    </row>
    <row r="256" customFormat="false" ht="15.75" hidden="false" customHeight="false" outlineLevel="0" collapsed="false">
      <c r="A256" s="3" t="s">
        <v>1914</v>
      </c>
      <c r="B256" s="3" t="str">
        <f aca="false">IF(COUNTIF(Final_CB_R8_V5!$B$8:$B$20345,A256)&gt;=1,"YES","NO")</f>
        <v>YES</v>
      </c>
      <c r="C256" s="3" t="s">
        <v>1915</v>
      </c>
      <c r="D256" s="3" t="str">
        <f aca="false">IF(COUNTIF(Final_CB_R8_V5!$C$8:$C$2345,C256)&gt;=1,"YES","NO")</f>
        <v>YES</v>
      </c>
      <c r="F256" s="4" t="str">
        <f aca="false">IFERROR(__xludf.dummyfunction("""COMPUTED_VALUE"""),"suggestion::refactoring::(style::imports)")</f>
        <v>suggestion::refactoring::(style::imports)</v>
      </c>
      <c r="G256" s="4" t="str">
        <f aca="false">IFERROR(__xludf.dummyfunction("""COMPUTED_VALUE"""),"providing::advice::best::practice::(style)")</f>
        <v>providing::advice::best::practice::(style)</v>
      </c>
      <c r="H256" s="4" t="str">
        <f aca="false">IFERROR(__xludf.dummyfunction("""COMPUTED_VALUE"""),"ready::approval::for::submitting17::(core::reviewer)")</f>
        <v>ready::approval::for::submitting17::(core::reviewer)</v>
      </c>
    </row>
    <row r="257" customFormat="false" ht="15.75" hidden="false" customHeight="false" outlineLevel="0" collapsed="false">
      <c r="A257" s="3" t="s">
        <v>1836</v>
      </c>
      <c r="B257" s="3" t="str">
        <f aca="false">IF(COUNTIF(Final_CB_R8_V5!$B$8:$B$20345,A257)&gt;=1,"YES","NO")</f>
        <v>YES</v>
      </c>
      <c r="C257" s="3" t="s">
        <v>1916</v>
      </c>
      <c r="D257" s="3" t="str">
        <f aca="false">IF(COUNTIF(Final_CB_R8_V5!$C$8:$C$2345,C257)&gt;=1,"YES","NO")</f>
        <v>YES</v>
      </c>
      <c r="F257" s="4" t="str">
        <f aca="false">IFERROR(__xludf.dummyfunction("""COMPUTED_VALUE"""),"suggestion::refactoring::(style::indentation)")</f>
        <v>suggestion::refactoring::(style::indentation)</v>
      </c>
      <c r="G257" s="4" t="str">
        <f aca="false">IFERROR(__xludf.dummyfunction("""COMPUTED_VALUE"""),"providing::advice::best::practice::(versioning)::with::code")</f>
        <v>providing::advice::best::practice::(versioning)::with::code</v>
      </c>
      <c r="H257" s="4" t="str">
        <f aca="false">IFERROR(__xludf.dummyfunction("""COMPUTED_VALUE"""),"ready::approval::for::submitting18")</f>
        <v>ready::approval::for::submitting18</v>
      </c>
    </row>
    <row r="258" customFormat="false" ht="15.75" hidden="false" customHeight="false" outlineLevel="0" collapsed="false">
      <c r="A258" s="3" t="s">
        <v>1838</v>
      </c>
      <c r="B258" s="3" t="str">
        <f aca="false">IF(COUNTIF(Final_CB_R8_V5!$B$8:$B$20345,A258)&gt;=1,"YES","NO")</f>
        <v>YES</v>
      </c>
      <c r="C258" s="3" t="s">
        <v>1917</v>
      </c>
      <c r="D258" s="3" t="str">
        <f aca="false">IF(COUNTIF(Final_CB_R8_V5!$C$8:$C$2345,C258)&gt;=1,"YES","NO")</f>
        <v>YES</v>
      </c>
      <c r="F258" s="4" t="str">
        <f aca="false">IFERROR(__xludf.dummyfunction("""COMPUTED_VALUE"""),"suggestion::refactoring::(style::removing::newline)")</f>
        <v>suggestion::refactoring::(style::removing::newline)</v>
      </c>
      <c r="G258" s="4" t="str">
        <f aca="false">IFERROR(__xludf.dummyfunction("""COMPUTED_VALUE"""),"providing::advice::how::to::develop::(use::of::patches)")</f>
        <v>providing::advice::how::to::develop::(use::of::patches)</v>
      </c>
      <c r="H258" s="4" t="str">
        <f aca="false">IFERROR(__xludf.dummyfunction("""COMPUTED_VALUE"""),"ready::approval::for::submitting18::(core::reviewer)")</f>
        <v>ready::approval::for::submitting18::(core::reviewer)</v>
      </c>
    </row>
    <row r="259" customFormat="false" ht="15.75" hidden="false" customHeight="false" outlineLevel="0" collapsed="false">
      <c r="A259" s="3" t="s">
        <v>1918</v>
      </c>
      <c r="B259" s="3" t="str">
        <f aca="false">IF(COUNTIF(Final_CB_R8_V5!$B$8:$B$20345,A259)&gt;=1,"YES","NO")</f>
        <v>YES</v>
      </c>
      <c r="C259" s="3" t="s">
        <v>1919</v>
      </c>
      <c r="D259" s="3" t="str">
        <f aca="false">IF(COUNTIF(Final_CB_R8_V5!$C$8:$C$2345,C259)&gt;=1,"YES","NO")</f>
        <v>YES</v>
      </c>
      <c r="F259" s="4" t="str">
        <f aca="false">IFERROR(__xludf.dummyfunction("""COMPUTED_VALUE"""),"suggestion::refactoring::(test)")</f>
        <v>suggestion::refactoring::(test)</v>
      </c>
      <c r="G259" s="4" t="str">
        <f aca="false">IFERROR(__xludf.dummyfunction("""COMPUTED_VALUE"""),"providing::advice::suggestion::refactoring::(naming::function)")</f>
        <v>providing::advice::suggestion::refactoring::(naming::function)</v>
      </c>
      <c r="H259" s="4" t="str">
        <f aca="false">IFERROR(__xludf.dummyfunction("""COMPUTED_VALUE"""),"ready::approval::for::submitting19")</f>
        <v>ready::approval::for::submitting19</v>
      </c>
    </row>
    <row r="260" customFormat="false" ht="15.75" hidden="false" customHeight="false" outlineLevel="0" collapsed="false">
      <c r="A260" s="3" t="s">
        <v>1842</v>
      </c>
      <c r="B260" s="3" t="str">
        <f aca="false">IF(COUNTIF(Final_CB_R8_V5!$B$8:$B$20345,A260)&gt;=1,"YES","NO")</f>
        <v>YES</v>
      </c>
      <c r="C260" s="3" t="s">
        <v>1920</v>
      </c>
      <c r="D260" s="3" t="str">
        <f aca="false">IF(COUNTIF(Final_CB_R8_V5!$C$8:$C$2345,C260)&gt;=1,"YES","NO")</f>
        <v>YES</v>
      </c>
      <c r="F260" s="4" t="str">
        <f aca="false">IFERROR(__xludf.dummyfunction("""COMPUTED_VALUE"""),"suggestion::refactoring::(typo)")</f>
        <v>suggestion::refactoring::(typo)</v>
      </c>
      <c r="G260" s="4" t="str">
        <f aca="false">IFERROR(__xludf.dummyfunction("""COMPUTED_VALUE"""),"providing::clarification::(need::of::constant)")</f>
        <v>providing::clarification::(need::of::constant)</v>
      </c>
      <c r="H260" s="4" t="str">
        <f aca="false">IFERROR(__xludf.dummyfunction("""COMPUTED_VALUE"""),"ready::approval::for::submitting19::(core::reviewer)")</f>
        <v>ready::approval::for::submitting19::(core::reviewer)</v>
      </c>
    </row>
    <row r="261" customFormat="false" ht="15.75" hidden="false" customHeight="false" outlineLevel="0" collapsed="false">
      <c r="A261" s="3" t="s">
        <v>1921</v>
      </c>
      <c r="B261" s="3" t="str">
        <f aca="false">IF(COUNTIF(Final_CB_R8_V5!$B$8:$B$20345,A261)&gt;=1,"YES","NO")</f>
        <v>YES</v>
      </c>
      <c r="C261" s="3" t="s">
        <v>1922</v>
      </c>
      <c r="D261" s="3" t="str">
        <f aca="false">IF(COUNTIF(Final_CB_R8_V5!$C$8:$C$2345,C261)&gt;=1,"YES","NO")</f>
        <v>YES</v>
      </c>
      <c r="F261" s="4" t="str">
        <f aca="false">IFERROR(__xludf.dummyfunction("""COMPUTED_VALUE"""),"suggestion::refactoring::(unnecesary::code)")</f>
        <v>suggestion::refactoring::(unnecesary::code)</v>
      </c>
      <c r="G261" s="4" t="str">
        <f aca="false">IFERROR(__xludf.dummyfunction("""COMPUTED_VALUE"""),"providing::clarification::about::change")</f>
        <v>providing::clarification::about::change</v>
      </c>
      <c r="H261" s="4" t="str">
        <f aca="false">IFERROR(__xludf.dummyfunction("""COMPUTED_VALUE"""),"ready::approval::for::submitting2")</f>
        <v>ready::approval::for::submitting2</v>
      </c>
    </row>
    <row r="262" customFormat="false" ht="15.75" hidden="false" customHeight="false" outlineLevel="0" collapsed="false">
      <c r="A262" s="3" t="s">
        <v>1923</v>
      </c>
      <c r="B262" s="3" t="str">
        <f aca="false">IF(COUNTIF(Final_CB_R8_V5!$B$8:$B$20345,A262)&gt;=1,"YES","NO")</f>
        <v>YES</v>
      </c>
      <c r="C262" s="3" t="s">
        <v>1924</v>
      </c>
      <c r="D262" s="3" t="str">
        <f aca="false">IF(COUNTIF(Final_CB_R8_V5!$C$8:$C$2345,C262)&gt;=1,"YES","NO")</f>
        <v>YES</v>
      </c>
      <c r="F262" s="4" t="str">
        <f aca="false">IFERROR(__xludf.dummyfunction("""COMPUTED_VALUE"""),"suggestion::refactoring::(use::method/function)")</f>
        <v>suggestion::refactoring::(use::method/function)</v>
      </c>
      <c r="G262" s="4" t="str">
        <f aca="false">IFERROR(__xludf.dummyfunction("""COMPUTED_VALUE"""),"providing::clarification::about::change::(logic)")</f>
        <v>providing::clarification::about::change::(logic)</v>
      </c>
      <c r="H262" s="4" t="str">
        <f aca="false">IFERROR(__xludf.dummyfunction("""COMPUTED_VALUE"""),"ready::approval::for::submitting20")</f>
        <v>ready::approval::for::submitting20</v>
      </c>
    </row>
    <row r="263" customFormat="false" ht="15.75" hidden="false" customHeight="false" outlineLevel="0" collapsed="false">
      <c r="A263" s="3" t="s">
        <v>1925</v>
      </c>
      <c r="B263" s="3" t="str">
        <f aca="false">IF(COUNTIF(Final_CB_R8_V5!$B$8:$B$20345,A263)&gt;=1,"YES","NO")</f>
        <v>YES</v>
      </c>
      <c r="C263" s="3" t="s">
        <v>1926</v>
      </c>
      <c r="D263" s="3" t="str">
        <f aca="false">IF(COUNTIF(Final_CB_R8_V5!$C$8:$C$2345,C263)&gt;=1,"YES","NO")</f>
        <v>YES</v>
      </c>
      <c r="F263" s="4" t="str">
        <f aca="false">IFERROR(__xludf.dummyfunction("""COMPUTED_VALUE"""),"suggestion::refactoring::(use::mock::object)")</f>
        <v>suggestion::refactoring::(use::mock::object)</v>
      </c>
      <c r="G263" s="4" t="str">
        <f aca="false">IFERROR(__xludf.dummyfunction("""COMPUTED_VALUE"""),"providing::clarification::about::code")</f>
        <v>providing::clarification::about::code</v>
      </c>
      <c r="H263" s="4" t="str">
        <f aca="false">IFERROR(__xludf.dummyfunction("""COMPUTED_VALUE"""),"ready::approval::for::submitting20::(core::reviewer)")</f>
        <v>ready::approval::for::submitting20::(core::reviewer)</v>
      </c>
    </row>
    <row r="264" customFormat="false" ht="15.75" hidden="false" customHeight="false" outlineLevel="0" collapsed="false">
      <c r="A264" s="3" t="s">
        <v>1927</v>
      </c>
      <c r="B264" s="3" t="str">
        <f aca="false">IF(COUNTIF(Final_CB_R8_V5!$B$8:$B$20345,A264)&gt;=1,"YES","NO")</f>
        <v>YES</v>
      </c>
      <c r="C264" s="3" t="s">
        <v>1928</v>
      </c>
      <c r="D264" s="3" t="str">
        <f aca="false">IF(COUNTIF(Final_CB_R8_V5!$C$8:$C$2345,C264)&gt;=1,"YES","NO")</f>
        <v>YES</v>
      </c>
      <c r="F264" s="4" t="str">
        <f aca="false">IFERROR(__xludf.dummyfunction("""COMPUTED_VALUE"""),"suggestion::refactoring::code::(different::approach::change::config::file)")</f>
        <v>suggestion::refactoring::code::(different::approach::change::config::file)</v>
      </c>
      <c r="G264" s="4" t="str">
        <f aca="false">IFERROR(__xludf.dummyfunction("""COMPUTED_VALUE"""),"providing::clarification::about::code::(error::handling)")</f>
        <v>providing::clarification::about::code::(error::handling)</v>
      </c>
      <c r="H264" s="4" t="str">
        <f aca="false">IFERROR(__xludf.dummyfunction("""COMPUTED_VALUE"""),"ready::approval::for::submitting21")</f>
        <v>ready::approval::for::submitting21</v>
      </c>
    </row>
    <row r="265" customFormat="false" ht="15.75" hidden="false" customHeight="false" outlineLevel="0" collapsed="false">
      <c r="A265" s="3" t="s">
        <v>1845</v>
      </c>
      <c r="B265" s="3" t="str">
        <f aca="false">IF(COUNTIF(Final_CB_R8_V5!$B$8:$B$20345,A265)&gt;=1,"YES","NO")</f>
        <v>YES</v>
      </c>
      <c r="C265" s="3" t="s">
        <v>1929</v>
      </c>
      <c r="D265" s="3" t="str">
        <f aca="false">IF(COUNTIF(Final_CB_R8_V5!$C$8:$C$2345,C265)&gt;=1,"YES","NO")</f>
        <v>YES</v>
      </c>
      <c r="F265" s="4" t="str">
        <f aca="false">IFERROR(__xludf.dummyfunction("""COMPUTED_VALUE"""),"suggestion::style::change::(commit::message)")</f>
        <v>suggestion::style::change::(commit::message)</v>
      </c>
      <c r="G265" s="4" t="str">
        <f aca="false">IFERROR(__xludf.dummyfunction("""COMPUTED_VALUE"""),"providing::clarification::about::code::(how::to::test::it)")</f>
        <v>providing::clarification::about::code::(how::to::test::it)</v>
      </c>
      <c r="H265" s="4" t="str">
        <f aca="false">IFERROR(__xludf.dummyfunction("""COMPUTED_VALUE"""),"ready::approval::for::submitting22")</f>
        <v>ready::approval::for::submitting22</v>
      </c>
    </row>
    <row r="266" customFormat="false" ht="15.75" hidden="false" customHeight="false" outlineLevel="0" collapsed="false">
      <c r="A266" s="3" t="s">
        <v>1930</v>
      </c>
      <c r="B266" s="3" t="str">
        <f aca="false">IF(COUNTIF(Final_CB_R8_V5!$B$8:$B$20345,A266)&gt;=1,"YES","NO")</f>
        <v>YES</v>
      </c>
      <c r="C266" s="3" t="s">
        <v>1931</v>
      </c>
      <c r="D266" s="3" t="str">
        <f aca="false">IF(COUNTIF(Final_CB_R8_V5!$C$8:$C$2345,C266)&gt;=1,"YES","NO")</f>
        <v>YES</v>
      </c>
      <c r="F266" s="4" t="str">
        <f aca="false">IFERROR(__xludf.dummyfunction("""COMPUTED_VALUE"""),"suggestion::wrong::label")</f>
        <v>suggestion::wrong::label</v>
      </c>
      <c r="G266" s="4" t="str">
        <f aca="false">IFERROR(__xludf.dummyfunction("""COMPUTED_VALUE"""),"providing::clarification::about::code::(logging)")</f>
        <v>providing::clarification::about::code::(logging)</v>
      </c>
      <c r="H266" s="4" t="str">
        <f aca="false">IFERROR(__xludf.dummyfunction("""COMPUTED_VALUE"""),"ready::approval::for::submitting22::(core::reviewer)")</f>
        <v>ready::approval::for::submitting22::(core::reviewer)</v>
      </c>
    </row>
    <row r="267" customFormat="false" ht="15.75" hidden="false" customHeight="false" outlineLevel="0" collapsed="false">
      <c r="A267" s="3" t="s">
        <v>1932</v>
      </c>
      <c r="B267" s="3" t="str">
        <f aca="false">IF(COUNTIF(Final_CB_R8_V5!$B$8:$B$20345,A267)&gt;=1,"YES","NO")</f>
        <v>YES</v>
      </c>
      <c r="C267" s="3" t="s">
        <v>1933</v>
      </c>
      <c r="D267" s="3" t="str">
        <f aca="false">IF(COUNTIF(Final_CB_R8_V5!$C$8:$C$2345,C267)&gt;=1,"YES","NO")</f>
        <v>YES</v>
      </c>
      <c r="F267" s="4" t="str">
        <f aca="false">IFERROR(__xludf.dummyfunction("""COMPUTED_VALUE"""),"summary::of::the::bug(s)")</f>
        <v>summary::of::the::bug(s)</v>
      </c>
      <c r="G267" s="4" t="str">
        <f aca="false">IFERROR(__xludf.dummyfunction("""COMPUTED_VALUE"""),"providing::clarification::about::code::(naming)")</f>
        <v>providing::clarification::about::code::(naming)</v>
      </c>
      <c r="H267" s="4" t="str">
        <f aca="false">IFERROR(__xludf.dummyfunction("""COMPUTED_VALUE"""),"ready::approval::for::submitting23")</f>
        <v>ready::approval::for::submitting23</v>
      </c>
    </row>
    <row r="268" customFormat="false" ht="15.75" hidden="false" customHeight="false" outlineLevel="0" collapsed="false">
      <c r="A268" s="3" t="s">
        <v>1934</v>
      </c>
      <c r="B268" s="3" t="str">
        <f aca="false">IF(COUNTIF(Final_CB_R8_V5!$B$8:$B$20345,A268)&gt;=1,"YES","NO")</f>
        <v>YES</v>
      </c>
      <c r="C268" s="3" t="s">
        <v>1935</v>
      </c>
      <c r="D268" s="3" t="str">
        <f aca="false">IF(COUNTIF(Final_CB_R8_V5!$C$8:$C$2345,C268)&gt;=1,"YES","NO")</f>
        <v>YES</v>
      </c>
      <c r="F268" s="4" t="str">
        <f aca="false">IFERROR(__xludf.dummyfunction("""COMPUTED_VALUE"""),"summary::of::the::changes")</f>
        <v>summary::of::the::changes</v>
      </c>
      <c r="G268" s="4" t="str">
        <f aca="false">IFERROR(__xludf.dummyfunction("""COMPUTED_VALUE"""),"providing::clarification::about::code::(solution::design)")</f>
        <v>providing::clarification::about::code::(solution::design)</v>
      </c>
      <c r="H268" s="4" t="str">
        <f aca="false">IFERROR(__xludf.dummyfunction("""COMPUTED_VALUE"""),"ready::approval::for::submitting23::(core::reviewer)")</f>
        <v>ready::approval::for::submitting23::(core::reviewer)</v>
      </c>
    </row>
    <row r="269" customFormat="false" ht="15.75" hidden="false" customHeight="false" outlineLevel="0" collapsed="false">
      <c r="A269" s="3" t="s">
        <v>1848</v>
      </c>
      <c r="B269" s="3" t="str">
        <f aca="false">IF(COUNTIF(Final_CB_R8_V5!$B$8:$B$20345,A269)&gt;=1,"YES","NO")</f>
        <v>YES</v>
      </c>
      <c r="C269" s="3" t="s">
        <v>1936</v>
      </c>
      <c r="D269" s="3" t="str">
        <f aca="false">IF(COUNTIF(Final_CB_R8_V5!$C$8:$C$2345,C269)&gt;=1,"YES","NO")</f>
        <v>YES</v>
      </c>
      <c r="F269" s="4" t="str">
        <f aca="false">IFERROR(__xludf.dummyfunction("""COMPUTED_VALUE"""),"wait::for::next::release")</f>
        <v>wait::for::next::release</v>
      </c>
      <c r="G269" s="4" t="str">
        <f aca="false">IFERROR(__xludf.dummyfunction("""COMPUTED_VALUE"""),"providing::clarification::about::code::(types)")</f>
        <v>providing::clarification::about::code::(types)</v>
      </c>
      <c r="H269" s="4" t="str">
        <f aca="false">IFERROR(__xludf.dummyfunction("""COMPUTED_VALUE"""),"ready::approval::for::submitting24")</f>
        <v>ready::approval::for::submitting24</v>
      </c>
    </row>
    <row r="270" customFormat="false" ht="15.75" hidden="false" customHeight="false" outlineLevel="0" collapsed="false">
      <c r="A270" s="3" t="s">
        <v>1937</v>
      </c>
      <c r="B270" s="3" t="str">
        <f aca="false">IF(COUNTIF(Final_CB_R8_V5!$B$8:$B$20345,A270)&gt;=1,"YES","NO")</f>
        <v>YES</v>
      </c>
      <c r="C270" s="3" t="s">
        <v>1938</v>
      </c>
      <c r="D270" s="3" t="str">
        <f aca="false">IF(COUNTIF(Final_CB_R8_V5!$C$8:$C$2345,C270)&gt;=1,"YES","NO")</f>
        <v>YES</v>
      </c>
      <c r="F270" s="4" t="str">
        <f aca="false">IFERROR(__xludf.dummyfunction("""COMPUTED_VALUE"""),"waiting::for::fix")</f>
        <v>waiting::for::fix</v>
      </c>
      <c r="G270" s="4" t="str">
        <f aca="false">IFERROR(__xludf.dummyfunction("""COMPUTED_VALUE"""),"providing::clarification::about::config")</f>
        <v>providing::clarification::about::config</v>
      </c>
      <c r="H270" s="4" t="str">
        <f aca="false">IFERROR(__xludf.dummyfunction("""COMPUTED_VALUE"""),"ready::approval::for::submitting24::(core::reviewer)")</f>
        <v>ready::approval::for::submitting24::(core::reviewer)</v>
      </c>
    </row>
    <row r="271" customFormat="false" ht="15.75" hidden="false" customHeight="false" outlineLevel="0" collapsed="false">
      <c r="A271" s="3" t="s">
        <v>1939</v>
      </c>
      <c r="B271" s="3" t="str">
        <f aca="false">IF(COUNTIF(Final_CB_R8_V5!$B$8:$B$20345,A271)&gt;=1,"YES","NO")</f>
        <v>YES</v>
      </c>
      <c r="C271" s="3" t="s">
        <v>1940</v>
      </c>
      <c r="D271" s="3" t="str">
        <f aca="false">IF(COUNTIF(Final_CB_R8_V5!$C$8:$C$2345,C271)&gt;=1,"YES","NO")</f>
        <v>YES</v>
      </c>
      <c r="G271" s="4" t="str">
        <f aca="false">IFERROR(__xludf.dummyfunction("""COMPUTED_VALUE"""),"providing::clarification::about::content::(commit::message)")</f>
        <v>providing::clarification::about::content::(commit::message)</v>
      </c>
      <c r="H271" s="4" t="str">
        <f aca="false">IFERROR(__xludf.dummyfunction("""COMPUTED_VALUE"""),"ready::approval::for::submitting25")</f>
        <v>ready::approval::for::submitting25</v>
      </c>
    </row>
    <row r="272" customFormat="false" ht="15.75" hidden="false" customHeight="false" outlineLevel="0" collapsed="false">
      <c r="A272" s="3" t="s">
        <v>1850</v>
      </c>
      <c r="B272" s="3" t="str">
        <f aca="false">IF(COUNTIF(Final_CB_R8_V5!$B$8:$B$20345,A272)&gt;=1,"YES","NO")</f>
        <v>YES</v>
      </c>
      <c r="C272" s="3" t="s">
        <v>1941</v>
      </c>
      <c r="D272" s="3" t="str">
        <f aca="false">IF(COUNTIF(Final_CB_R8_V5!$C$8:$C$2345,C272)&gt;=1,"YES","NO")</f>
        <v>YES</v>
      </c>
      <c r="G272" s="4" t="str">
        <f aca="false">IFERROR(__xludf.dummyfunction("""COMPUTED_VALUE"""),"providing::clarification::about::dependency")</f>
        <v>providing::clarification::about::dependency</v>
      </c>
      <c r="H272" s="4" t="str">
        <f aca="false">IFERROR(__xludf.dummyfunction("""COMPUTED_VALUE"""),"ready::approval::for::submitting26")</f>
        <v>ready::approval::for::submitting26</v>
      </c>
    </row>
    <row r="273" customFormat="false" ht="15.75" hidden="false" customHeight="false" outlineLevel="0" collapsed="false">
      <c r="A273" s="3" t="s">
        <v>1856</v>
      </c>
      <c r="B273" s="3" t="str">
        <f aca="false">IF(COUNTIF(Final_CB_R8_V5!$B$8:$B$20345,A273)&gt;=1,"YES","NO")</f>
        <v>YES</v>
      </c>
      <c r="C273" s="3" t="s">
        <v>1942</v>
      </c>
      <c r="D273" s="3" t="str">
        <f aca="false">IF(COUNTIF(Final_CB_R8_V5!$C$8:$C$2345,C273)&gt;=1,"YES","NO")</f>
        <v>YES</v>
      </c>
      <c r="G273" s="4" t="str">
        <f aca="false">IFERROR(__xludf.dummyfunction("""COMPUTED_VALUE"""),"providing::clarification::about::dependency::(api::version)")</f>
        <v>providing::clarification::about::dependency::(api::version)</v>
      </c>
      <c r="H273" s="4" t="str">
        <f aca="false">IFERROR(__xludf.dummyfunction("""COMPUTED_VALUE"""),"ready::approval::for::submitting26::(core::reviewer)")</f>
        <v>ready::approval::for::submitting26::(core::reviewer)</v>
      </c>
    </row>
    <row r="274" customFormat="false" ht="15.75" hidden="false" customHeight="false" outlineLevel="0" collapsed="false">
      <c r="A274" s="3" t="s">
        <v>1861</v>
      </c>
      <c r="B274" s="3" t="str">
        <f aca="false">IF(COUNTIF(Final_CB_R8_V5!$B$8:$B$20345,A274)&gt;=1,"YES","NO")</f>
        <v>YES</v>
      </c>
      <c r="C274" s="3" t="s">
        <v>1943</v>
      </c>
      <c r="D274" s="3" t="str">
        <f aca="false">IF(COUNTIF(Final_CB_R8_V5!$C$8:$C$2345,C274)&gt;=1,"YES","NO")</f>
        <v>YES</v>
      </c>
      <c r="G274" s="4" t="str">
        <f aca="false">IFERROR(__xludf.dummyfunction("""COMPUTED_VALUE"""),"providing::clarification::about::documentation")</f>
        <v>providing::clarification::about::documentation</v>
      </c>
      <c r="H274" s="4" t="str">
        <f aca="false">IFERROR(__xludf.dummyfunction("""COMPUTED_VALUE"""),"ready::approval::for::submitting27")</f>
        <v>ready::approval::for::submitting27</v>
      </c>
    </row>
    <row r="275" customFormat="false" ht="15.75" hidden="false" customHeight="false" outlineLevel="0" collapsed="false">
      <c r="A275" s="3" t="s">
        <v>1863</v>
      </c>
      <c r="B275" s="3" t="str">
        <f aca="false">IF(COUNTIF(Final_CB_R8_V5!$B$8:$B$20345,A275)&gt;=1,"YES","NO")</f>
        <v>YES</v>
      </c>
      <c r="C275" s="3" t="s">
        <v>1944</v>
      </c>
      <c r="D275" s="3" t="str">
        <f aca="false">IF(COUNTIF(Final_CB_R8_V5!$C$8:$C$2345,C275)&gt;=1,"YES","NO")</f>
        <v>YES</v>
      </c>
      <c r="G275" s="4" t="str">
        <f aca="false">IFERROR(__xludf.dummyfunction("""COMPUTED_VALUE"""),"providing::clarification::about::waiting::for::patch::(other::review)")</f>
        <v>providing::clarification::about::waiting::for::patch::(other::review)</v>
      </c>
      <c r="H275" s="4" t="str">
        <f aca="false">IFERROR(__xludf.dummyfunction("""COMPUTED_VALUE"""),"ready::approval::for::submitting27::(core::reviewer)")</f>
        <v>ready::approval::for::submitting27::(core::reviewer)</v>
      </c>
    </row>
    <row r="276" customFormat="false" ht="15.75" hidden="false" customHeight="false" outlineLevel="0" collapsed="false">
      <c r="A276" s="3" t="s">
        <v>1945</v>
      </c>
      <c r="B276" s="3" t="str">
        <f aca="false">IF(COUNTIF(Final_CB_R8_V5!$B$8:$B$20345,A276)&gt;=1,"YES","NO")</f>
        <v>YES</v>
      </c>
      <c r="C276" s="3" t="s">
        <v>1946</v>
      </c>
      <c r="D276" s="3" t="str">
        <f aca="false">IF(COUNTIF(Final_CB_R8_V5!$C$8:$C$2345,C276)&gt;=1,"YES","NO")</f>
        <v>YES</v>
      </c>
      <c r="G276" s="4" t="str">
        <f aca="false">IFERROR(__xludf.dummyfunction("""COMPUTED_VALUE"""),"providing::solution::(new::library)")</f>
        <v>providing::solution::(new::library)</v>
      </c>
      <c r="H276" s="4" t="str">
        <f aca="false">IFERROR(__xludf.dummyfunction("""COMPUTED_VALUE"""),"ready::approval::for::submitting28")</f>
        <v>ready::approval::for::submitting28</v>
      </c>
    </row>
    <row r="277" customFormat="false" ht="15.75" hidden="false" customHeight="false" outlineLevel="0" collapsed="false">
      <c r="A277" s="3" t="s">
        <v>1947</v>
      </c>
      <c r="B277" s="3" t="str">
        <f aca="false">IF(COUNTIF(Final_CB_R8_V5!$B$8:$B$20345,A277)&gt;=1,"YES","NO")</f>
        <v>YES</v>
      </c>
      <c r="C277" s="3" t="s">
        <v>1948</v>
      </c>
      <c r="D277" s="3" t="str">
        <f aca="false">IF(COUNTIF(Final_CB_R8_V5!$C$8:$C$2345,C277)&gt;=1,"YES","NO")</f>
        <v>YES</v>
      </c>
      <c r="G277" s="4" t="str">
        <f aca="false">IFERROR(__xludf.dummyfunction("""COMPUTED_VALUE"""),"providing::solution::(performance)")</f>
        <v>providing::solution::(performance)</v>
      </c>
      <c r="H277" s="4" t="str">
        <f aca="false">IFERROR(__xludf.dummyfunction("""COMPUTED_VALUE"""),"ready::approval::for::submitting28::(core::reviewer)")</f>
        <v>ready::approval::for::submitting28::(core::reviewer)</v>
      </c>
    </row>
    <row r="278" customFormat="false" ht="15.75" hidden="false" customHeight="false" outlineLevel="0" collapsed="false">
      <c r="A278" s="3" t="s">
        <v>1870</v>
      </c>
      <c r="B278" s="3" t="str">
        <f aca="false">IF(COUNTIF(Final_CB_R8_V5!$B$8:$B$20345,A278)&gt;=1,"YES","NO")</f>
        <v>YES</v>
      </c>
      <c r="C278" s="3" t="s">
        <v>1949</v>
      </c>
      <c r="D278" s="3" t="str">
        <f aca="false">IF(COUNTIF(Final_CB_R8_V5!$C$8:$C$2345,C278)&gt;=1,"YES","NO")</f>
        <v>YES</v>
      </c>
      <c r="G278" s="4" t="str">
        <f aca="false">IFERROR(__xludf.dummyfunction("""COMPUTED_VALUE"""),"question::regarding::blueprint")</f>
        <v>question::regarding::blueprint</v>
      </c>
      <c r="H278" s="4" t="str">
        <f aca="false">IFERROR(__xludf.dummyfunction("""COMPUTED_VALUE"""),"ready::approval::for::submitting29")</f>
        <v>ready::approval::for::submitting29</v>
      </c>
    </row>
    <row r="279" customFormat="false" ht="15.75" hidden="false" customHeight="false" outlineLevel="0" collapsed="false">
      <c r="A279" s="3" t="s">
        <v>1871</v>
      </c>
      <c r="B279" s="3" t="str">
        <f aca="false">IF(COUNTIF(Final_CB_R8_V5!$B$8:$B$20345,A279)&gt;=1,"YES","NO")</f>
        <v>YES</v>
      </c>
      <c r="C279" s="3" t="s">
        <v>1950</v>
      </c>
      <c r="D279" s="3" t="str">
        <f aca="false">IF(COUNTIF(Final_CB_R8_V5!$C$8:$C$2345,C279)&gt;=1,"YES","NO")</f>
        <v>YES</v>
      </c>
      <c r="G279" s="4" t="str">
        <f aca="false">IFERROR(__xludf.dummyfunction("""COMPUTED_VALUE"""),"raising::issue::(potential::technical::debt)")</f>
        <v>raising::issue::(potential::technical::debt)</v>
      </c>
      <c r="H279" s="4" t="str">
        <f aca="false">IFERROR(__xludf.dummyfunction("""COMPUTED_VALUE"""),"ready::approval::for::submitting2::(core::reviewer)")</f>
        <v>ready::approval::for::submitting2::(core::reviewer)</v>
      </c>
    </row>
    <row r="280" customFormat="false" ht="15.75" hidden="false" customHeight="false" outlineLevel="0" collapsed="false">
      <c r="A280" s="3" t="s">
        <v>1872</v>
      </c>
      <c r="B280" s="3" t="str">
        <f aca="false">IF(COUNTIF(Final_CB_R8_V5!$B$8:$B$20345,A280)&gt;=1,"YES","NO")</f>
        <v>YES</v>
      </c>
      <c r="C280" s="3" t="s">
        <v>1951</v>
      </c>
      <c r="D280" s="3" t="str">
        <f aca="false">IF(COUNTIF(Final_CB_R8_V5!$C$8:$C$2345,C280)&gt;=1,"YES","NO")</f>
        <v>YES</v>
      </c>
      <c r="G280" s="4" t="str">
        <f aca="false">IFERROR(__xludf.dummyfunction("""COMPUTED_VALUE"""),"references::conversation::irc")</f>
        <v>references::conversation::irc</v>
      </c>
      <c r="H280" s="4" t="str">
        <f aca="false">IFERROR(__xludf.dummyfunction("""COMPUTED_VALUE"""),"ready::approval::for::submitting3")</f>
        <v>ready::approval::for::submitting3</v>
      </c>
    </row>
    <row r="281" customFormat="false" ht="15.75" hidden="false" customHeight="false" outlineLevel="0" collapsed="false">
      <c r="A281" s="3" t="s">
        <v>1877</v>
      </c>
      <c r="B281" s="3" t="str">
        <f aca="false">IF(COUNTIF(Final_CB_R8_V5!$B$8:$B$20345,A281)&gt;=1,"YES","NO")</f>
        <v>YES</v>
      </c>
      <c r="C281" s="3" t="s">
        <v>1952</v>
      </c>
      <c r="D281" s="3" t="str">
        <f aca="false">IF(COUNTIF(Final_CB_R8_V5!$C$8:$C$2345,C281)&gt;=1,"YES","NO")</f>
        <v>YES</v>
      </c>
      <c r="G281" s="4" t="str">
        <f aca="false">IFERROR(__xludf.dummyfunction("""COMPUTED_VALUE"""),"references::meeting")</f>
        <v>references::meeting</v>
      </c>
      <c r="H281" s="4" t="str">
        <f aca="false">IFERROR(__xludf.dummyfunction("""COMPUTED_VALUE"""),"ready::approval::for::submitting30::(core::reviewer)")</f>
        <v>ready::approval::for::submitting30::(core::reviewer)</v>
      </c>
    </row>
    <row r="282" customFormat="false" ht="15.75" hidden="false" customHeight="false" outlineLevel="0" collapsed="false">
      <c r="A282" s="3" t="s">
        <v>1953</v>
      </c>
      <c r="B282" s="3" t="str">
        <f aca="false">IF(COUNTIF(Final_CB_R8_V5!$B$8:$B$20345,A282)&gt;=1,"YES","NO")</f>
        <v>YES</v>
      </c>
      <c r="C282" s="3" t="s">
        <v>1954</v>
      </c>
      <c r="D282" s="3" t="str">
        <f aca="false">IF(COUNTIF(Final_CB_R8_V5!$C$8:$C$2345,C282)&gt;=1,"YES","NO")</f>
        <v>YES</v>
      </c>
      <c r="G282" s="4" t="str">
        <f aca="false">IFERROR(__xludf.dummyfunction("""COMPUTED_VALUE"""),"referes::to::approved::spec")</f>
        <v>referes::to::approved::spec</v>
      </c>
      <c r="H282" s="4" t="str">
        <f aca="false">IFERROR(__xludf.dummyfunction("""COMPUTED_VALUE"""),"ready::approval::for::submitting31")</f>
        <v>ready::approval::for::submitting31</v>
      </c>
    </row>
    <row r="283" customFormat="false" ht="15.75" hidden="false" customHeight="false" outlineLevel="0" collapsed="false">
      <c r="A283" s="3" t="s">
        <v>1883</v>
      </c>
      <c r="B283" s="3" t="str">
        <f aca="false">IF(COUNTIF(Final_CB_R8_V5!$B$8:$B$20345,A283)&gt;=1,"YES","NO")</f>
        <v>YES</v>
      </c>
      <c r="C283" s="3" t="s">
        <v>1955</v>
      </c>
      <c r="D283" s="3" t="str">
        <f aca="false">IF(COUNTIF(Final_CB_R8_V5!$C$8:$C$2345,C283)&gt;=1,"YES","NO")</f>
        <v>YES</v>
      </c>
      <c r="G283" s="4" t="str">
        <f aca="false">IFERROR(__xludf.dummyfunction("""COMPUTED_VALUE"""),"referes::to::code::(elsewhere)")</f>
        <v>referes::to::code::(elsewhere)</v>
      </c>
      <c r="H283" s="4" t="str">
        <f aca="false">IFERROR(__xludf.dummyfunction("""COMPUTED_VALUE"""),"ready::approval::for::submitting31::(core::reviewer)")</f>
        <v>ready::approval::for::submitting31::(core::reviewer)</v>
      </c>
    </row>
    <row r="284" customFormat="false" ht="15.75" hidden="false" customHeight="false" outlineLevel="0" collapsed="false">
      <c r="A284" s="3" t="s">
        <v>1884</v>
      </c>
      <c r="B284" s="3" t="str">
        <f aca="false">IF(COUNTIF(Final_CB_R8_V5!$B$8:$B$20345,A284)&gt;=1,"YES","NO")</f>
        <v>YES</v>
      </c>
      <c r="C284" s="3" t="s">
        <v>1956</v>
      </c>
      <c r="D284" s="3" t="str">
        <f aca="false">IF(COUNTIF(Final_CB_R8_V5!$C$8:$C$2345,C284)&gt;=1,"YES","NO")</f>
        <v>YES</v>
      </c>
      <c r="G284" s="4" t="str">
        <f aca="false">IFERROR(__xludf.dummyfunction("""COMPUTED_VALUE"""),"referes::to::code::(migrations)")</f>
        <v>referes::to::code::(migrations)</v>
      </c>
      <c r="H284" s="4" t="str">
        <f aca="false">IFERROR(__xludf.dummyfunction("""COMPUTED_VALUE"""),"ready::approval::for::submitting32")</f>
        <v>ready::approval::for::submitting32</v>
      </c>
    </row>
    <row r="285" customFormat="false" ht="15.75" hidden="false" customHeight="false" outlineLevel="0" collapsed="false">
      <c r="A285" s="3" t="s">
        <v>1957</v>
      </c>
      <c r="B285" s="3" t="str">
        <f aca="false">IF(COUNTIF(Final_CB_R8_V5!$B$8:$B$20345,A285)&gt;=1,"YES","NO")</f>
        <v>YES</v>
      </c>
      <c r="C285" s="3" t="s">
        <v>1958</v>
      </c>
      <c r="D285" s="3" t="str">
        <f aca="false">IF(COUNTIF(Final_CB_R8_V5!$C$8:$C$2345,C285)&gt;=1,"YES","NO")</f>
        <v>YES</v>
      </c>
      <c r="G285" s="4" t="str">
        <f aca="false">IFERROR(__xludf.dummyfunction("""COMPUTED_VALUE"""),"referes::to::comment")</f>
        <v>referes::to::comment</v>
      </c>
      <c r="H285" s="4" t="str">
        <f aca="false">IFERROR(__xludf.dummyfunction("""COMPUTED_VALUE"""),"ready::approval::for::submitting33")</f>
        <v>ready::approval::for::submitting33</v>
      </c>
    </row>
    <row r="286" customFormat="false" ht="15.75" hidden="false" customHeight="false" outlineLevel="0" collapsed="false">
      <c r="A286" s="3" t="s">
        <v>1959</v>
      </c>
      <c r="B286" s="3" t="str">
        <f aca="false">IF(COUNTIF(Final_CB_R8_V5!$B$8:$B$20345,A286)&gt;=1,"YES","NO")</f>
        <v>YES</v>
      </c>
      <c r="C286" s="3" t="s">
        <v>1960</v>
      </c>
      <c r="D286" s="3" t="str">
        <f aca="false">IF(COUNTIF(Final_CB_R8_V5!$C$8:$C$2345,C286)&gt;=1,"YES","NO")</f>
        <v>YES</v>
      </c>
      <c r="G286" s="4" t="str">
        <f aca="false">IFERROR(__xludf.dummyfunction("""COMPUTED_VALUE"""),"referes::to::comment::(older::revision)")</f>
        <v>referes::to::comment::(older::revision)</v>
      </c>
      <c r="H286" s="4" t="str">
        <f aca="false">IFERROR(__xludf.dummyfunction("""COMPUTED_VALUE"""),"ready::approval::for::submitting34")</f>
        <v>ready::approval::for::submitting34</v>
      </c>
    </row>
    <row r="287" customFormat="false" ht="15.75" hidden="false" customHeight="false" outlineLevel="0" collapsed="false">
      <c r="A287" s="3" t="s">
        <v>1885</v>
      </c>
      <c r="B287" s="3" t="str">
        <f aca="false">IF(COUNTIF(Final_CB_R8_V5!$B$8:$B$20345,A287)&gt;=1,"YES","NO")</f>
        <v>YES</v>
      </c>
      <c r="C287" s="3" t="s">
        <v>1961</v>
      </c>
      <c r="D287" s="3" t="str">
        <f aca="false">IF(COUNTIF(Final_CB_R8_V5!$C$8:$C$2345,C287)&gt;=1,"YES","NO")</f>
        <v>YES</v>
      </c>
      <c r="G287" s="4" t="str">
        <f aca="false">IFERROR(__xludf.dummyfunction("""COMPUTED_VALUE"""),"referes::to::comment::(other::file)")</f>
        <v>referes::to::comment::(other::file)</v>
      </c>
      <c r="H287" s="4" t="str">
        <f aca="false">IFERROR(__xludf.dummyfunction("""COMPUTED_VALUE"""),"ready::approval::for::submitting35")</f>
        <v>ready::approval::for::submitting35</v>
      </c>
    </row>
    <row r="288" customFormat="false" ht="15.75" hidden="false" customHeight="false" outlineLevel="0" collapsed="false">
      <c r="A288" s="3" t="s">
        <v>1962</v>
      </c>
      <c r="B288" s="3" t="str">
        <f aca="false">IF(COUNTIF(Final_CB_R8_V5!$B$8:$B$20345,A288)&gt;=1,"YES","NO")</f>
        <v>YES</v>
      </c>
      <c r="C288" s="3" t="s">
        <v>1963</v>
      </c>
      <c r="D288" s="3" t="str">
        <f aca="false">IF(COUNTIF(Final_CB_R8_V5!$C$8:$C$2345,C288)&gt;=1,"YES","NO")</f>
        <v>YES</v>
      </c>
      <c r="G288" s="4" t="str">
        <f aca="false">IFERROR(__xludf.dummyfunction("""COMPUTED_VALUE"""),"referes::to::previous::conversation::(location::unknown)")</f>
        <v>referes::to::previous::conversation::(location::unknown)</v>
      </c>
      <c r="H288" s="4" t="str">
        <f aca="false">IFERROR(__xludf.dummyfunction("""COMPUTED_VALUE"""),"ready::approval::for::submitting36")</f>
        <v>ready::approval::for::submitting36</v>
      </c>
    </row>
    <row r="289" customFormat="false" ht="15.75" hidden="false" customHeight="false" outlineLevel="0" collapsed="false">
      <c r="A289" s="3" t="s">
        <v>1964</v>
      </c>
      <c r="B289" s="3" t="str">
        <f aca="false">IF(COUNTIF(Final_CB_R8_V5!$B$8:$B$20345,A289)&gt;=1,"YES","NO")</f>
        <v>YES</v>
      </c>
      <c r="C289" s="3" t="s">
        <v>1965</v>
      </c>
      <c r="D289" s="3" t="str">
        <f aca="false">IF(COUNTIF(Final_CB_R8_V5!$C$8:$C$2345,C289)&gt;=1,"YES","NO")</f>
        <v>YES</v>
      </c>
      <c r="G289" s="4" t="str">
        <f aca="false">IFERROR(__xludf.dummyfunction("""COMPUTED_VALUE"""),"referes::to::previous::objection")</f>
        <v>referes::to::previous::objection</v>
      </c>
      <c r="H289" s="4" t="str">
        <f aca="false">IFERROR(__xludf.dummyfunction("""COMPUTED_VALUE"""),"ready::approval::for::submitting37")</f>
        <v>ready::approval::for::submitting37</v>
      </c>
    </row>
    <row r="290" customFormat="false" ht="15.75" hidden="false" customHeight="false" outlineLevel="0" collapsed="false">
      <c r="A290" s="3" t="s">
        <v>1888</v>
      </c>
      <c r="B290" s="3" t="str">
        <f aca="false">IF(COUNTIF(Final_CB_R8_V5!$B$8:$B$20345,A290)&gt;=1,"YES","NO")</f>
        <v>YES</v>
      </c>
      <c r="C290" s="3" t="s">
        <v>1966</v>
      </c>
      <c r="D290" s="3" t="str">
        <f aca="false">IF(COUNTIF(Final_CB_R8_V5!$C$8:$C$2345,C290)&gt;=1,"YES","NO")</f>
        <v>YES</v>
      </c>
      <c r="G290" s="4" t="str">
        <f aca="false">IFERROR(__xludf.dummyfunction("""COMPUTED_VALUE"""),"referes::to::previous::suggestion")</f>
        <v>referes::to::previous::suggestion</v>
      </c>
      <c r="H290" s="4" t="str">
        <f aca="false">IFERROR(__xludf.dummyfunction("""COMPUTED_VALUE"""),"ready::approval::for::submitting38::(core::reviewer)")</f>
        <v>ready::approval::for::submitting38::(core::reviewer)</v>
      </c>
    </row>
    <row r="291" customFormat="false" ht="15.75" hidden="false" customHeight="false" outlineLevel="0" collapsed="false">
      <c r="A291" s="3" t="s">
        <v>1890</v>
      </c>
      <c r="B291" s="3" t="str">
        <f aca="false">IF(COUNTIF(Final_CB_R8_V5!$B$8:$B$20345,A291)&gt;=1,"YES","NO")</f>
        <v>YES</v>
      </c>
      <c r="C291" s="3" t="s">
        <v>1967</v>
      </c>
      <c r="D291" s="3" t="str">
        <f aca="false">IF(COUNTIF(Final_CB_R8_V5!$C$8:$C$2345,C291)&gt;=1,"YES","NO")</f>
        <v>YES</v>
      </c>
      <c r="G291" s="4" t="str">
        <f aca="false">IFERROR(__xludf.dummyfunction("""COMPUTED_VALUE"""),"referes::to::previous::suggestion::refactoring::(cleaner::code)")</f>
        <v>referes::to::previous::suggestion::refactoring::(cleaner::code)</v>
      </c>
      <c r="H291" s="4" t="str">
        <f aca="false">IFERROR(__xludf.dummyfunction("""COMPUTED_VALUE"""),"ready::approval::for::submitting39")</f>
        <v>ready::approval::for::submitting39</v>
      </c>
    </row>
    <row r="292" customFormat="false" ht="15.75" hidden="false" customHeight="false" outlineLevel="0" collapsed="false">
      <c r="A292" s="3" t="s">
        <v>1892</v>
      </c>
      <c r="B292" s="3" t="str">
        <f aca="false">IF(COUNTIF(Final_CB_R8_V5!$B$8:$B$20345,A292)&gt;=1,"YES","NO")</f>
        <v>YES</v>
      </c>
      <c r="C292" s="3" t="s">
        <v>1968</v>
      </c>
      <c r="D292" s="3" t="str">
        <f aca="false">IF(COUNTIF(Final_CB_R8_V5!$C$8:$C$2345,C292)&gt;=1,"YES","NO")</f>
        <v>YES</v>
      </c>
      <c r="G292" s="4" t="str">
        <f aca="false">IFERROR(__xludf.dummyfunction("""COMPUTED_VALUE"""),"referes::to::spec::(github)")</f>
        <v>referes::to::spec::(github)</v>
      </c>
      <c r="H292" s="4" t="str">
        <f aca="false">IFERROR(__xludf.dummyfunction("""COMPUTED_VALUE"""),"ready::approval::for::submitting3::(core::reviewer)")</f>
        <v>ready::approval::for::submitting3::(core::reviewer)</v>
      </c>
    </row>
    <row r="293" customFormat="false" ht="15.75" hidden="false" customHeight="false" outlineLevel="0" collapsed="false">
      <c r="A293" s="3" t="s">
        <v>1893</v>
      </c>
      <c r="B293" s="3" t="str">
        <f aca="false">IF(COUNTIF(Final_CB_R8_V5!$B$8:$B$20345,A293)&gt;=1,"YES","NO")</f>
        <v>YES</v>
      </c>
      <c r="C293" s="3" t="s">
        <v>1969</v>
      </c>
      <c r="D293" s="3" t="str">
        <f aca="false">IF(COUNTIF(Final_CB_R8_V5!$C$8:$C$2345,C293)&gt;=1,"YES","NO")</f>
        <v>YES</v>
      </c>
      <c r="G293" s="4" t="str">
        <f aca="false">IFERROR(__xludf.dummyfunction("""COMPUTED_VALUE"""),"reminder::update::votes")</f>
        <v>reminder::update::votes</v>
      </c>
      <c r="H293" s="4" t="str">
        <f aca="false">IFERROR(__xludf.dummyfunction("""COMPUTED_VALUE"""),"ready::approval::for::submitting4")</f>
        <v>ready::approval::for::submitting4</v>
      </c>
    </row>
    <row r="294" customFormat="false" ht="15.75" hidden="false" customHeight="false" outlineLevel="0" collapsed="false">
      <c r="A294" s="3" t="s">
        <v>1894</v>
      </c>
      <c r="B294" s="3" t="str">
        <f aca="false">IF(COUNTIF(Final_CB_R8_V5!$B$8:$B$20345,A294)&gt;=1,"YES","NO")</f>
        <v>YES</v>
      </c>
      <c r="C294" s="3" t="s">
        <v>1970</v>
      </c>
      <c r="D294" s="3" t="str">
        <f aca="false">IF(COUNTIF(Final_CB_R8_V5!$C$8:$C$2345,C294)&gt;=1,"YES","NO")</f>
        <v>YES</v>
      </c>
      <c r="G294" s="4" t="str">
        <f aca="false">IFERROR(__xludf.dummyfunction("""COMPUTED_VALUE"""),"requesting::explanation::for::not::aproval")</f>
        <v>requesting::explanation::for::not::aproval</v>
      </c>
      <c r="H294" s="4" t="str">
        <f aca="false">IFERROR(__xludf.dummyfunction("""COMPUTED_VALUE"""),"ready::approval::for::submitting40")</f>
        <v>ready::approval::for::submitting40</v>
      </c>
    </row>
    <row r="295" customFormat="false" ht="15.75" hidden="false" customHeight="false" outlineLevel="0" collapsed="false">
      <c r="A295" s="3" t="s">
        <v>1895</v>
      </c>
      <c r="B295" s="3" t="str">
        <f aca="false">IF(COUNTIF(Final_CB_R8_V5!$B$8:$B$20345,A295)&gt;=1,"YES","NO")</f>
        <v>YES</v>
      </c>
      <c r="C295" s="3" t="s">
        <v>1971</v>
      </c>
      <c r="D295" s="3" t="str">
        <f aca="false">IF(COUNTIF(Final_CB_R8_V5!$C$8:$C$2345,C295)&gt;=1,"YES","NO")</f>
        <v>YES</v>
      </c>
      <c r="G295" s="4" t="str">
        <f aca="false">IFERROR(__xludf.dummyfunction("""COMPUTED_VALUE"""),"requesting::of::checking::for::bugs")</f>
        <v>requesting::of::checking::for::bugs</v>
      </c>
      <c r="H295" s="4" t="str">
        <f aca="false">IFERROR(__xludf.dummyfunction("""COMPUTED_VALUE"""),"ready::approval::for::submitting41")</f>
        <v>ready::approval::for::submitting41</v>
      </c>
    </row>
    <row r="296" customFormat="false" ht="15.75" hidden="false" customHeight="false" outlineLevel="0" collapsed="false">
      <c r="A296" s="3" t="s">
        <v>1897</v>
      </c>
      <c r="B296" s="3" t="str">
        <f aca="false">IF(COUNTIF(Final_CB_R8_V5!$B$8:$B$20345,A296)&gt;=1,"YES","NO")</f>
        <v>YES</v>
      </c>
      <c r="C296" s="3" t="s">
        <v>1972</v>
      </c>
      <c r="D296" s="3" t="str">
        <f aca="false">IF(COUNTIF(Final_CB_R8_V5!$C$8:$C$2345,C296)&gt;=1,"YES","NO")</f>
        <v>YES</v>
      </c>
      <c r="G296" s="4" t="str">
        <f aca="false">IFERROR(__xludf.dummyfunction("""COMPUTED_VALUE"""),"retracting::suggestion::change::(error::handling)")</f>
        <v>retracting::suggestion::change::(error::handling)</v>
      </c>
      <c r="H296" s="4" t="str">
        <f aca="false">IFERROR(__xludf.dummyfunction("""COMPUTED_VALUE"""),"ready::approval::for::submitting4::(core::reviewer)")</f>
        <v>ready::approval::for::submitting4::(core::reviewer)</v>
      </c>
    </row>
    <row r="297" customFormat="false" ht="15.75" hidden="false" customHeight="false" outlineLevel="0" collapsed="false">
      <c r="A297" s="3" t="s">
        <v>1898</v>
      </c>
      <c r="B297" s="3" t="str">
        <f aca="false">IF(COUNTIF(Final_CB_R8_V5!$B$8:$B$20345,A297)&gt;=1,"YES","NO")</f>
        <v>YES</v>
      </c>
      <c r="C297" s="3" t="s">
        <v>1973</v>
      </c>
      <c r="D297" s="3" t="str">
        <f aca="false">IF(COUNTIF(Final_CB_R8_V5!$C$8:$C$2345,C297)&gt;=1,"YES","NO")</f>
        <v>YES</v>
      </c>
      <c r="G297" s="4" t="str">
        <f aca="false">IFERROR(__xludf.dummyfunction("""COMPUTED_VALUE"""),"retracting::suggestion::change::(naming)")</f>
        <v>retracting::suggestion::change::(naming)</v>
      </c>
      <c r="H297" s="4" t="str">
        <f aca="false">IFERROR(__xludf.dummyfunction("""COMPUTED_VALUE"""),"ready::approval::for::submitting5")</f>
        <v>ready::approval::for::submitting5</v>
      </c>
    </row>
    <row r="298" customFormat="false" ht="15.75" hidden="false" customHeight="false" outlineLevel="0" collapsed="false">
      <c r="A298" s="3" t="s">
        <v>1900</v>
      </c>
      <c r="B298" s="3" t="str">
        <f aca="false">IF(COUNTIF(Final_CB_R8_V5!$B$8:$B$20345,A298)&gt;=1,"YES","NO")</f>
        <v>YES</v>
      </c>
      <c r="C298" s="3" t="s">
        <v>1974</v>
      </c>
      <c r="D298" s="3" t="str">
        <f aca="false">IF(COUNTIF(Final_CB_R8_V5!$C$8:$C$2345,C298)&gt;=1,"YES","NO")</f>
        <v>YES</v>
      </c>
      <c r="G298" s="4" t="str">
        <f aca="false">IFERROR(__xludf.dummyfunction("""COMPUTED_VALUE"""),"retracting::suggestion::change::(property)")</f>
        <v>retracting::suggestion::change::(property)</v>
      </c>
      <c r="H298" s="4" t="str">
        <f aca="false">IFERROR(__xludf.dummyfunction("""COMPUTED_VALUE"""),"ready::approval::for::submitting5::(core::reviewer)")</f>
        <v>ready::approval::for::submitting5::(core::reviewer)</v>
      </c>
    </row>
    <row r="299" customFormat="false" ht="15.75" hidden="false" customHeight="false" outlineLevel="0" collapsed="false">
      <c r="A299" s="3" t="s">
        <v>1902</v>
      </c>
      <c r="B299" s="3" t="str">
        <f aca="false">IF(COUNTIF(Final_CB_R8_V5!$B$8:$B$20345,A299)&gt;=1,"YES","NO")</f>
        <v>YES</v>
      </c>
      <c r="C299" s="3" t="s">
        <v>1975</v>
      </c>
      <c r="D299" s="3" t="str">
        <f aca="false">IF(COUNTIF(Final_CB_R8_V5!$C$8:$C$2345,C299)&gt;=1,"YES","NO")</f>
        <v>YES</v>
      </c>
      <c r="G299" s="4" t="str">
        <f aca="false">IFERROR(__xludf.dummyfunction("""COMPUTED_VALUE"""),"retracting::suggestion::refactoring::(clearer::code)")</f>
        <v>retracting::suggestion::refactoring::(clearer::code)</v>
      </c>
      <c r="H299" s="4" t="str">
        <f aca="false">IFERROR(__xludf.dummyfunction("""COMPUTED_VALUE"""),"ready::approval::for::submitting6")</f>
        <v>ready::approval::for::submitting6</v>
      </c>
    </row>
    <row r="300" customFormat="false" ht="15.75" hidden="false" customHeight="false" outlineLevel="0" collapsed="false">
      <c r="A300" s="3" t="s">
        <v>1903</v>
      </c>
      <c r="B300" s="3" t="str">
        <f aca="false">IF(COUNTIF(Final_CB_R8_V5!$B$8:$B$20345,A300)&gt;=1,"YES","NO")</f>
        <v>YES</v>
      </c>
      <c r="C300" s="3" t="s">
        <v>1976</v>
      </c>
      <c r="D300" s="3" t="str">
        <f aca="false">IF(COUNTIF(Final_CB_R8_V5!$C$8:$C$2345,C300)&gt;=1,"YES","NO")</f>
        <v>YES</v>
      </c>
      <c r="G300" s="4" t="str">
        <f aca="false">IFERROR(__xludf.dummyfunction("""COMPUTED_VALUE"""),"suggestion::change::(api::version)")</f>
        <v>suggestion::change::(api::version)</v>
      </c>
      <c r="H300" s="4" t="str">
        <f aca="false">IFERROR(__xludf.dummyfunction("""COMPUTED_VALUE"""),"ready::approval::for::submitting6::(core::reviewer)")</f>
        <v>ready::approval::for::submitting6::(core::reviewer)</v>
      </c>
    </row>
    <row r="301" customFormat="false" ht="15.75" hidden="false" customHeight="false" outlineLevel="0" collapsed="false">
      <c r="A301" s="3" t="s">
        <v>1904</v>
      </c>
      <c r="B301" s="3" t="str">
        <f aca="false">IF(COUNTIF(Final_CB_R8_V5!$B$8:$B$20345,A301)&gt;=1,"YES","NO")</f>
        <v>YES</v>
      </c>
      <c r="C301" s="3" t="s">
        <v>1977</v>
      </c>
      <c r="D301" s="3" t="str">
        <f aca="false">IF(COUNTIF(Final_CB_R8_V5!$C$8:$C$2345,C301)&gt;=1,"YES","NO")</f>
        <v>YES</v>
      </c>
      <c r="G301" s="4" t="str">
        <f aca="false">IFERROR(__xludf.dummyfunction("""COMPUTED_VALUE"""),"suggestion::change::(coding::error)")</f>
        <v>suggestion::change::(coding::error)</v>
      </c>
      <c r="H301" s="4" t="str">
        <f aca="false">IFERROR(__xludf.dummyfunction("""COMPUTED_VALUE"""),"ready::approval::for::submitting7")</f>
        <v>ready::approval::for::submitting7</v>
      </c>
    </row>
    <row r="302" customFormat="false" ht="15.75" hidden="false" customHeight="false" outlineLevel="0" collapsed="false">
      <c r="A302" s="3" t="s">
        <v>1905</v>
      </c>
      <c r="B302" s="3" t="str">
        <f aca="false">IF(COUNTIF(Final_CB_R8_V5!$B$8:$B$20345,A302)&gt;=1,"YES","NO")</f>
        <v>YES</v>
      </c>
      <c r="C302" s="3" t="s">
        <v>1978</v>
      </c>
      <c r="D302" s="3" t="str">
        <f aca="false">IF(COUNTIF(Final_CB_R8_V5!$C$8:$C$2345,C302)&gt;=1,"YES","NO")</f>
        <v>YES</v>
      </c>
      <c r="G302" s="4" t="str">
        <f aca="false">IFERROR(__xludf.dummyfunction("""COMPUTED_VALUE"""),"suggestion::change::(database::query)")</f>
        <v>suggestion::change::(database::query)</v>
      </c>
      <c r="H302" s="4" t="str">
        <f aca="false">IFERROR(__xludf.dummyfunction("""COMPUTED_VALUE"""),"ready::approval::for::submitting7::(core::reviewer)")</f>
        <v>ready::approval::for::submitting7::(core::reviewer)</v>
      </c>
    </row>
    <row r="303" customFormat="false" ht="15.75" hidden="false" customHeight="false" outlineLevel="0" collapsed="false">
      <c r="A303" s="3" t="s">
        <v>1906</v>
      </c>
      <c r="B303" s="3" t="str">
        <f aca="false">IF(COUNTIF(Final_CB_R8_V5!$B$8:$B$20345,A303)&gt;=1,"YES","NO")</f>
        <v>YES</v>
      </c>
      <c r="C303" s="3" t="s">
        <v>1979</v>
      </c>
      <c r="D303" s="3" t="str">
        <f aca="false">IF(COUNTIF(Final_CB_R8_V5!$C$8:$C$2345,C303)&gt;=1,"YES","NO")</f>
        <v>YES</v>
      </c>
      <c r="G303" s="4" t="str">
        <f aca="false">IFERROR(__xludf.dummyfunction("""COMPUTED_VALUE"""),"suggestion::change::(default::values)")</f>
        <v>suggestion::change::(default::values)</v>
      </c>
      <c r="H303" s="4" t="str">
        <f aca="false">IFERROR(__xludf.dummyfunction("""COMPUTED_VALUE"""),"ready::approval::for::submitting8")</f>
        <v>ready::approval::for::submitting8</v>
      </c>
    </row>
    <row r="304" customFormat="false" ht="15.75" hidden="false" customHeight="false" outlineLevel="0" collapsed="false">
      <c r="A304" s="3" t="s">
        <v>1907</v>
      </c>
      <c r="B304" s="3" t="str">
        <f aca="false">IF(COUNTIF(Final_CB_R8_V5!$B$8:$B$20345,A304)&gt;=1,"YES","NO")</f>
        <v>YES</v>
      </c>
      <c r="C304" s="3" t="s">
        <v>1980</v>
      </c>
      <c r="D304" s="3" t="str">
        <f aca="false">IF(COUNTIF(Final_CB_R8_V5!$C$8:$C$2345,C304)&gt;=1,"YES","NO")</f>
        <v>YES</v>
      </c>
      <c r="G304" s="4" t="str">
        <f aca="false">IFERROR(__xludf.dummyfunction("""COMPUTED_VALUE"""),"suggestion::change::(default::values::config)")</f>
        <v>suggestion::change::(default::values::config)</v>
      </c>
      <c r="H304" s="4" t="str">
        <f aca="false">IFERROR(__xludf.dummyfunction("""COMPUTED_VALUE"""),"ready::approval::for::submitting8::(core::reviewer)")</f>
        <v>ready::approval::for::submitting8::(core::reviewer)</v>
      </c>
    </row>
    <row r="305" customFormat="false" ht="15.75" hidden="false" customHeight="false" outlineLevel="0" collapsed="false">
      <c r="A305" s="3" t="s">
        <v>1908</v>
      </c>
      <c r="B305" s="3" t="str">
        <f aca="false">IF(COUNTIF(Final_CB_R8_V5!$B$8:$B$20345,A305)&gt;=1,"YES","NO")</f>
        <v>YES</v>
      </c>
      <c r="C305" s="3" t="s">
        <v>1981</v>
      </c>
      <c r="D305" s="3" t="str">
        <f aca="false">IF(COUNTIF(Final_CB_R8_V5!$C$8:$C$2345,C305)&gt;=1,"YES","NO")</f>
        <v>YES</v>
      </c>
      <c r="G305" s="4" t="str">
        <f aca="false">IFERROR(__xludf.dummyfunction("""COMPUTED_VALUE"""),"suggestion::change::(delete::temporary::files)")</f>
        <v>suggestion::change::(delete::temporary::files)</v>
      </c>
      <c r="H305" s="4" t="str">
        <f aca="false">IFERROR(__xludf.dummyfunction("""COMPUTED_VALUE"""),"ready::approval::for::submitting9")</f>
        <v>ready::approval::for::submitting9</v>
      </c>
    </row>
    <row r="306" customFormat="false" ht="15.75" hidden="false" customHeight="false" outlineLevel="0" collapsed="false">
      <c r="A306" s="3" t="s">
        <v>1909</v>
      </c>
      <c r="B306" s="3" t="str">
        <f aca="false">IF(COUNTIF(Final_CB_R8_V5!$B$8:$B$20345,A306)&gt;=1,"YES","NO")</f>
        <v>YES</v>
      </c>
      <c r="C306" s="3" t="s">
        <v>1982</v>
      </c>
      <c r="D306" s="3" t="str">
        <f aca="false">IF(COUNTIF(Final_CB_R8_V5!$C$8:$C$2345,C306)&gt;=1,"YES","NO")</f>
        <v>YES</v>
      </c>
      <c r="G306" s="4" t="str">
        <f aca="false">IFERROR(__xludf.dummyfunction("""COMPUTED_VALUE"""),"suggestion::change::(delete::type/exception)")</f>
        <v>suggestion::change::(delete::type/exception)</v>
      </c>
      <c r="H306" s="4" t="str">
        <f aca="false">IFERROR(__xludf.dummyfunction("""COMPUTED_VALUE"""),"ready::approval::for::submitting9::(core::reviewer)")</f>
        <v>ready::approval::for::submitting9::(core::reviewer)</v>
      </c>
    </row>
    <row r="307" customFormat="false" ht="15.75" hidden="false" customHeight="false" outlineLevel="0" collapsed="false">
      <c r="A307" s="3" t="s">
        <v>1911</v>
      </c>
      <c r="B307" s="3" t="str">
        <f aca="false">IF(COUNTIF(Final_CB_R8_V5!$B$8:$B$20345,A307)&gt;=1,"YES","NO")</f>
        <v>YES</v>
      </c>
      <c r="C307" s="3" t="s">
        <v>1983</v>
      </c>
      <c r="D307" s="3" t="str">
        <f aca="false">IF(COUNTIF(Final_CB_R8_V5!$C$8:$C$2345,C307)&gt;=1,"YES","NO")</f>
        <v>YES</v>
      </c>
      <c r="G307" s="4" t="str">
        <f aca="false">IFERROR(__xludf.dummyfunction("""COMPUTED_VALUE"""),"suggestion::change::(driver::level)")</f>
        <v>suggestion::change::(driver::level)</v>
      </c>
      <c r="H307" s="4" t="str">
        <f aca="false">IFERROR(__xludf.dummyfunction("""COMPUTED_VALUE"""),"ready::approval::for::submitting::(core::reviewer)")</f>
        <v>ready::approval::for::submitting::(core::reviewer)</v>
      </c>
    </row>
    <row r="308" customFormat="false" ht="15.75" hidden="false" customHeight="false" outlineLevel="0" collapsed="false">
      <c r="A308" s="3" t="s">
        <v>1912</v>
      </c>
      <c r="B308" s="3" t="str">
        <f aca="false">IF(COUNTIF(Final_CB_R8_V5!$B$8:$B$20345,A308)&gt;=1,"YES","NO")</f>
        <v>YES</v>
      </c>
      <c r="C308" s="3" t="s">
        <v>1984</v>
      </c>
      <c r="D308" s="3" t="str">
        <f aca="false">IF(COUNTIF(Final_CB_R8_V5!$C$8:$C$2345,C308)&gt;=1,"YES","NO")</f>
        <v>YES</v>
      </c>
      <c r="G308" s="4" t="str">
        <f aca="false">IFERROR(__xludf.dummyfunction("""COMPUTED_VALUE"""),"suggestion::change::(error::handling)")</f>
        <v>suggestion::change::(error::handling)</v>
      </c>
      <c r="H308" s="4" t="str">
        <f aca="false">IFERROR(__xludf.dummyfunction("""COMPUTED_VALUE"""),"ready::approval::for::submitting::(vote)")</f>
        <v>ready::approval::for::submitting::(vote)</v>
      </c>
    </row>
    <row r="309" customFormat="false" ht="15.75" hidden="false" customHeight="false" outlineLevel="0" collapsed="false">
      <c r="A309" s="3" t="s">
        <v>1913</v>
      </c>
      <c r="B309" s="3" t="str">
        <f aca="false">IF(COUNTIF(Final_CB_R8_V5!$B$8:$B$20345,A309)&gt;=1,"YES","NO")</f>
        <v>YES</v>
      </c>
      <c r="C309" s="3" t="s">
        <v>1985</v>
      </c>
      <c r="D309" s="3" t="str">
        <f aca="false">IF(COUNTIF(Final_CB_R8_V5!$C$8:$C$2345,C309)&gt;=1,"YES","NO")</f>
        <v>YES</v>
      </c>
      <c r="G309" s="4" t="str">
        <f aca="false">IFERROR(__xludf.dummyfunction("""COMPUTED_VALUE"""),"suggestion::change::(external::endpont::url)")</f>
        <v>suggestion::change::(external::endpont::url)</v>
      </c>
      <c r="H309" s="4" t="str">
        <f aca="false">IFERROR(__xludf.dummyfunction("""COMPUTED_VALUE"""),"ready::approval::for::submitting::(vote)::(core::reviewer)")</f>
        <v>ready::approval::for::submitting::(vote)::(core::reviewer)</v>
      </c>
    </row>
    <row r="310" customFormat="false" ht="15.75" hidden="false" customHeight="false" outlineLevel="0" collapsed="false">
      <c r="A310" s="3" t="s">
        <v>1915</v>
      </c>
      <c r="B310" s="3" t="str">
        <f aca="false">IF(COUNTIF(Final_CB_R8_V5!$B$8:$B$20345,A310)&gt;=1,"YES","NO")</f>
        <v>YES</v>
      </c>
      <c r="C310" s="3" t="s">
        <v>1986</v>
      </c>
      <c r="D310" s="3" t="str">
        <f aca="false">IF(COUNTIF(Final_CB_R8_V5!$C$8:$C$2345,C310)&gt;=1,"YES","NO")</f>
        <v>YES</v>
      </c>
      <c r="G310" s="4" t="str">
        <f aca="false">IFERROR(__xludf.dummyfunction("""COMPUTED_VALUE"""),"suggestion::change::(logging::for::debugging)")</f>
        <v>suggestion::change::(logging::for::debugging)</v>
      </c>
      <c r="H310" s="4" t="str">
        <f aca="false">IFERROR(__xludf.dummyfunction("""COMPUTED_VALUE"""),"ready::approval::for::submitting::(vote10)")</f>
        <v>ready::approval::for::submitting::(vote10)</v>
      </c>
    </row>
    <row r="311" customFormat="false" ht="15.75" hidden="false" customHeight="false" outlineLevel="0" collapsed="false">
      <c r="A311" s="3" t="s">
        <v>1916</v>
      </c>
      <c r="B311" s="3" t="str">
        <f aca="false">IF(COUNTIF(Final_CB_R8_V5!$B$8:$B$20345,A311)&gt;=1,"YES","NO")</f>
        <v>YES</v>
      </c>
      <c r="C311" s="3" t="s">
        <v>1987</v>
      </c>
      <c r="D311" s="3" t="str">
        <f aca="false">IF(COUNTIF(Final_CB_R8_V5!$C$8:$C$2345,C311)&gt;=1,"YES","NO")</f>
        <v>YES</v>
      </c>
      <c r="G311" s="4" t="str">
        <f aca="false">IFERROR(__xludf.dummyfunction("""COMPUTED_VALUE"""),"suggestion::change::(naming)")</f>
        <v>suggestion::change::(naming)</v>
      </c>
      <c r="H311" s="4" t="str">
        <f aca="false">IFERROR(__xludf.dummyfunction("""COMPUTED_VALUE"""),"ready::approval::for::submitting::(vote11)")</f>
        <v>ready::approval::for::submitting::(vote11)</v>
      </c>
    </row>
    <row r="312" customFormat="false" ht="15.75" hidden="false" customHeight="false" outlineLevel="0" collapsed="false">
      <c r="A312" s="3" t="s">
        <v>1917</v>
      </c>
      <c r="B312" s="3" t="str">
        <f aca="false">IF(COUNTIF(Final_CB_R8_V5!$B$8:$B$20345,A312)&gt;=1,"YES","NO")</f>
        <v>YES</v>
      </c>
      <c r="C312" s="3" t="s">
        <v>1988</v>
      </c>
      <c r="D312" s="3" t="str">
        <f aca="false">IF(COUNTIF(Final_CB_R8_V5!$C$8:$C$2345,C312)&gt;=1,"YES","NO")</f>
        <v>YES</v>
      </c>
      <c r="G312" s="4" t="str">
        <f aca="false">IFERROR(__xludf.dummyfunction("""COMPUTED_VALUE"""),"suggestion::change::(naming::class)")</f>
        <v>suggestion::change::(naming::class)</v>
      </c>
      <c r="H312" s="4" t="str">
        <f aca="false">IFERROR(__xludf.dummyfunction("""COMPUTED_VALUE"""),"ready::approval::for::submitting::(vote12)::(code::review)")</f>
        <v>ready::approval::for::submitting::(vote12)::(code::review)</v>
      </c>
    </row>
    <row r="313" customFormat="false" ht="15.75" hidden="false" customHeight="false" outlineLevel="0" collapsed="false">
      <c r="A313" s="3" t="s">
        <v>1919</v>
      </c>
      <c r="B313" s="3" t="str">
        <f aca="false">IF(COUNTIF(Final_CB_R8_V5!$B$8:$B$20345,A313)&gt;=1,"YES","NO")</f>
        <v>YES</v>
      </c>
      <c r="C313" s="3" t="s">
        <v>1989</v>
      </c>
      <c r="D313" s="3" t="str">
        <f aca="false">IF(COUNTIF(Final_CB_R8_V5!$C$8:$C$2345,C313)&gt;=1,"YES","NO")</f>
        <v>YES</v>
      </c>
      <c r="G313" s="4" t="str">
        <f aca="false">IFERROR(__xludf.dummyfunction("""COMPUTED_VALUE"""),"suggestion::change::(naming::variable)")</f>
        <v>suggestion::change::(naming::variable)</v>
      </c>
      <c r="H313" s="4" t="str">
        <f aca="false">IFERROR(__xludf.dummyfunction("""COMPUTED_VALUE"""),"ready::approval::for::submitting::(vote13)")</f>
        <v>ready::approval::for::submitting::(vote13)</v>
      </c>
    </row>
    <row r="314" customFormat="false" ht="15.75" hidden="false" customHeight="false" outlineLevel="0" collapsed="false">
      <c r="A314" s="3" t="s">
        <v>1920</v>
      </c>
      <c r="B314" s="3" t="str">
        <f aca="false">IF(COUNTIF(Final_CB_R8_V5!$B$8:$B$20345,A314)&gt;=1,"YES","NO")</f>
        <v>YES</v>
      </c>
      <c r="C314" s="3" t="s">
        <v>1990</v>
      </c>
      <c r="D314" s="3" t="str">
        <f aca="false">IF(COUNTIF(Final_CB_R8_V5!$C$8:$C$2345,C314)&gt;=1,"YES","NO")</f>
        <v>YES</v>
      </c>
      <c r="G314" s="4" t="str">
        <f aca="false">IFERROR(__xludf.dummyfunction("""COMPUTED_VALUE"""),"suggestion::change::(new::dependency)")</f>
        <v>suggestion::change::(new::dependency)</v>
      </c>
      <c r="H314" s="4" t="str">
        <f aca="false">IFERROR(__xludf.dummyfunction("""COMPUTED_VALUE"""),"ready::approval::for::submitting::(vote2)")</f>
        <v>ready::approval::for::submitting::(vote2)</v>
      </c>
    </row>
    <row r="315" customFormat="false" ht="15.75" hidden="false" customHeight="false" outlineLevel="0" collapsed="false">
      <c r="A315" s="3" t="s">
        <v>1922</v>
      </c>
      <c r="B315" s="3" t="str">
        <f aca="false">IF(COUNTIF(Final_CB_R8_V5!$B$8:$B$20345,A315)&gt;=1,"YES","NO")</f>
        <v>YES</v>
      </c>
      <c r="C315" s="3" t="s">
        <v>1991</v>
      </c>
      <c r="D315" s="3" t="str">
        <f aca="false">IF(COUNTIF(Final_CB_R8_V5!$C$8:$C$2345,C315)&gt;=1,"YES","NO")</f>
        <v>YES</v>
      </c>
      <c r="G315" s="4" t="str">
        <f aca="false">IFERROR(__xludf.dummyfunction("""COMPUTED_VALUE"""),"suggestion::change::(optional::improvement)")</f>
        <v>suggestion::change::(optional::improvement)</v>
      </c>
      <c r="H315" s="4" t="str">
        <f aca="false">IFERROR(__xludf.dummyfunction("""COMPUTED_VALUE"""),"ready::approval::for::submitting::(vote2)::(core::reviewer)")</f>
        <v>ready::approval::for::submitting::(vote2)::(core::reviewer)</v>
      </c>
    </row>
    <row r="316" customFormat="false" ht="15.75" hidden="false" customHeight="false" outlineLevel="0" collapsed="false">
      <c r="A316" s="3" t="s">
        <v>1992</v>
      </c>
      <c r="B316" s="3" t="str">
        <f aca="false">IF(COUNTIF(Final_CB_R8_V5!$B$8:$B$20345,A316)&gt;=1,"YES","NO")</f>
        <v>YES</v>
      </c>
      <c r="C316" s="3" t="s">
        <v>1993</v>
      </c>
      <c r="D316" s="3" t="str">
        <f aca="false">IF(COUNTIF(Final_CB_R8_V5!$C$8:$C$2345,C316)&gt;=1,"YES","NO")</f>
        <v>YES</v>
      </c>
      <c r="G316" s="4" t="str">
        <f aca="false">IFERROR(__xludf.dummyfunction("""COMPUTED_VALUE"""),"suggestion::change::(optional::improvement::remove::duplicated::tests)")</f>
        <v>suggestion::change::(optional::improvement::remove::duplicated::tests)</v>
      </c>
      <c r="H316" s="4" t="str">
        <f aca="false">IFERROR(__xludf.dummyfunction("""COMPUTED_VALUE"""),"ready::approval::for::submitting::(vote3)")</f>
        <v>ready::approval::for::submitting::(vote3)</v>
      </c>
    </row>
    <row r="317" customFormat="false" ht="15.75" hidden="false" customHeight="false" outlineLevel="0" collapsed="false">
      <c r="A317" s="3" t="s">
        <v>1994</v>
      </c>
      <c r="B317" s="3" t="str">
        <f aca="false">IF(COUNTIF(Final_CB_R8_V5!$B$8:$B$20345,A317)&gt;=1,"YES","NO")</f>
        <v>YES</v>
      </c>
      <c r="C317" s="3" t="s">
        <v>1995</v>
      </c>
      <c r="D317" s="3" t="str">
        <f aca="false">IF(COUNTIF(Final_CB_R8_V5!$C$8:$C$2345,C317)&gt;=1,"YES","NO")</f>
        <v>YES</v>
      </c>
      <c r="G317" s="4" t="str">
        <f aca="false">IFERROR(__xludf.dummyfunction("""COMPUTED_VALUE"""),"suggestion::change::(property)")</f>
        <v>suggestion::change::(property)</v>
      </c>
      <c r="H317" s="4" t="str">
        <f aca="false">IFERROR(__xludf.dummyfunction("""COMPUTED_VALUE"""),"ready::approval::for::submitting::(vote3)::(core::reviewer)")</f>
        <v>ready::approval::for::submitting::(vote3)::(core::reviewer)</v>
      </c>
    </row>
    <row r="318" customFormat="false" ht="15.75" hidden="false" customHeight="false" outlineLevel="0" collapsed="false">
      <c r="A318" s="3" t="s">
        <v>1996</v>
      </c>
      <c r="B318" s="3" t="str">
        <f aca="false">IF(COUNTIF(Final_CB_R8_V5!$B$8:$B$20345,A318)&gt;=1,"YES","NO")</f>
        <v>YES</v>
      </c>
      <c r="C318" s="3" t="s">
        <v>1997</v>
      </c>
      <c r="D318" s="3" t="str">
        <f aca="false">IF(COUNTIF(Final_CB_R8_V5!$C$8:$C$2345,C318)&gt;=1,"YES","NO")</f>
        <v>YES</v>
      </c>
      <c r="G318" s="4" t="str">
        <f aca="false">IFERROR(__xludf.dummyfunction("""COMPUTED_VALUE"""),"suggestion::change::(remove::documentation)")</f>
        <v>suggestion::change::(remove::documentation)</v>
      </c>
      <c r="H318" s="4" t="str">
        <f aca="false">IFERROR(__xludf.dummyfunction("""COMPUTED_VALUE"""),"ready::approval::for::submitting::(vote4)")</f>
        <v>ready::approval::for::submitting::(vote4)</v>
      </c>
    </row>
    <row r="319" customFormat="false" ht="15.75" hidden="false" customHeight="false" outlineLevel="0" collapsed="false">
      <c r="A319" s="3" t="s">
        <v>1928</v>
      </c>
      <c r="B319" s="3" t="str">
        <f aca="false">IF(COUNTIF(Final_CB_R8_V5!$B$8:$B$20345,A319)&gt;=1,"YES","NO")</f>
        <v>YES</v>
      </c>
      <c r="C319" s="3" t="s">
        <v>1998</v>
      </c>
      <c r="D319" s="3" t="str">
        <f aca="false">IF(COUNTIF(Final_CB_R8_V5!$C$8:$C$2345,C319)&gt;=1,"YES","NO")</f>
        <v>YES</v>
      </c>
      <c r="G319" s="4" t="str">
        <f aca="false">IFERROR(__xludf.dummyfunction("""COMPUTED_VALUE"""),"suggestion::change::(remove::obsulete::tests)")</f>
        <v>suggestion::change::(remove::obsulete::tests)</v>
      </c>
      <c r="H319" s="4" t="str">
        <f aca="false">IFERROR(__xludf.dummyfunction("""COMPUTED_VALUE"""),"ready::approval::for::submitting::(vote4)::(core::reviewer)")</f>
        <v>ready::approval::for::submitting::(vote4)::(core::reviewer)</v>
      </c>
    </row>
    <row r="320" customFormat="false" ht="15.75" hidden="false" customHeight="false" outlineLevel="0" collapsed="false">
      <c r="A320" s="3" t="s">
        <v>1929</v>
      </c>
      <c r="B320" s="3" t="str">
        <f aca="false">IF(COUNTIF(Final_CB_R8_V5!$B$8:$B$20345,A320)&gt;=1,"YES","NO")</f>
        <v>YES</v>
      </c>
      <c r="C320" s="3" t="s">
        <v>1999</v>
      </c>
      <c r="D320" s="3" t="str">
        <f aca="false">IF(COUNTIF(Final_CB_R8_V5!$C$8:$C$2345,C320)&gt;=1,"YES","NO")</f>
        <v>YES</v>
      </c>
      <c r="G320" s="4" t="str">
        <f aca="false">IFERROR(__xludf.dummyfunction("""COMPUTED_VALUE"""),"suggestion::change::(remove::uncommented::code)")</f>
        <v>suggestion::change::(remove::uncommented::code)</v>
      </c>
      <c r="H320" s="4" t="str">
        <f aca="false">IFERROR(__xludf.dummyfunction("""COMPUTED_VALUE"""),"ready::approval::for::submitting::(vote5)")</f>
        <v>ready::approval::for::submitting::(vote5)</v>
      </c>
    </row>
    <row r="321" customFormat="false" ht="15.75" hidden="false" customHeight="false" outlineLevel="0" collapsed="false">
      <c r="A321" s="3" t="s">
        <v>1931</v>
      </c>
      <c r="B321" s="3" t="str">
        <f aca="false">IF(COUNTIF(Final_CB_R8_V5!$B$8:$B$20345,A321)&gt;=1,"YES","NO")</f>
        <v>YES</v>
      </c>
      <c r="C321" s="3" t="s">
        <v>2000</v>
      </c>
      <c r="D321" s="3" t="str">
        <f aca="false">IF(COUNTIF(Final_CB_R8_V5!$C$8:$C$2345,C321)&gt;=1,"YES","NO")</f>
        <v>YES</v>
      </c>
      <c r="G321" s="4" t="str">
        <f aca="false">IFERROR(__xludf.dummyfunction("""COMPUTED_VALUE"""),"suggestion::change::(removing::unnecessary::import)")</f>
        <v>suggestion::change::(removing::unnecessary::import)</v>
      </c>
      <c r="H321" s="4" t="str">
        <f aca="false">IFERROR(__xludf.dummyfunction("""COMPUTED_VALUE"""),"ready::approval::for::submitting::(vote5)::(core::reviewer)")</f>
        <v>ready::approval::for::submitting::(vote5)::(core::reviewer)</v>
      </c>
    </row>
    <row r="322" customFormat="false" ht="15.75" hidden="false" customHeight="false" outlineLevel="0" collapsed="false">
      <c r="A322" s="3" t="s">
        <v>1933</v>
      </c>
      <c r="B322" s="3" t="str">
        <f aca="false">IF(COUNTIF(Final_CB_R8_V5!$B$8:$B$20345,A322)&gt;=1,"YES","NO")</f>
        <v>YES</v>
      </c>
      <c r="C322" s="3" t="s">
        <v>2001</v>
      </c>
      <c r="D322" s="3" t="str">
        <f aca="false">IF(COUNTIF(Final_CB_R8_V5!$C$8:$C$2345,C322)&gt;=1,"YES","NO")</f>
        <v>YES</v>
      </c>
      <c r="G322" s="4" t="str">
        <f aca="false">IFERROR(__xludf.dummyfunction("""COMPUTED_VALUE"""),"suggestion::change::(reverting::changes)")</f>
        <v>suggestion::change::(reverting::changes)</v>
      </c>
      <c r="H322" s="4" t="str">
        <f aca="false">IFERROR(__xludf.dummyfunction("""COMPUTED_VALUE"""),"ready::approval::for::submitting::(vote6)")</f>
        <v>ready::approval::for::submitting::(vote6)</v>
      </c>
    </row>
    <row r="323" customFormat="false" ht="15.75" hidden="false" customHeight="false" outlineLevel="0" collapsed="false">
      <c r="A323" s="3" t="s">
        <v>1935</v>
      </c>
      <c r="B323" s="3" t="str">
        <f aca="false">IF(COUNTIF(Final_CB_R8_V5!$B$8:$B$20345,A323)&gt;=1,"YES","NO")</f>
        <v>YES</v>
      </c>
      <c r="C323" s="3" t="s">
        <v>2002</v>
      </c>
      <c r="D323" s="3" t="str">
        <f aca="false">IF(COUNTIF(Final_CB_R8_V5!$C$8:$C$2345,C323)&gt;=1,"YES","NO")</f>
        <v>YES</v>
      </c>
      <c r="G323" s="4" t="str">
        <f aca="false">IFERROR(__xludf.dummyfunction("""COMPUTED_VALUE"""),"suggestion::change::(security)")</f>
        <v>suggestion::change::(security)</v>
      </c>
      <c r="H323" s="4" t="str">
        <f aca="false">IFERROR(__xludf.dummyfunction("""COMPUTED_VALUE"""),"ready::approval::for::submitting::(vote6)::(core::reviewer)")</f>
        <v>ready::approval::for::submitting::(vote6)::(core::reviewer)</v>
      </c>
    </row>
    <row r="324" customFormat="false" ht="15.75" hidden="false" customHeight="false" outlineLevel="0" collapsed="false">
      <c r="A324" s="3" t="s">
        <v>1936</v>
      </c>
      <c r="B324" s="3" t="str">
        <f aca="false">IF(COUNTIF(Final_CB_R8_V5!$B$8:$B$20345,A324)&gt;=1,"YES","NO")</f>
        <v>YES</v>
      </c>
      <c r="C324" s="3" t="s">
        <v>2003</v>
      </c>
      <c r="D324" s="3" t="str">
        <f aca="false">IF(COUNTIF(Final_CB_R8_V5!$C$8:$C$2345,C324)&gt;=1,"YES","NO")</f>
        <v>YES</v>
      </c>
      <c r="G324" s="4" t="str">
        <f aca="false">IFERROR(__xludf.dummyfunction("""COMPUTED_VALUE"""),"suggestion::change::(test::design)")</f>
        <v>suggestion::change::(test::design)</v>
      </c>
      <c r="H324" s="4" t="str">
        <f aca="false">IFERROR(__xludf.dummyfunction("""COMPUTED_VALUE"""),"ready::approval::for::submitting::(vote7)")</f>
        <v>ready::approval::for::submitting::(vote7)</v>
      </c>
    </row>
    <row r="325" customFormat="false" ht="15.75" hidden="false" customHeight="false" outlineLevel="0" collapsed="false">
      <c r="A325" s="3" t="s">
        <v>1938</v>
      </c>
      <c r="B325" s="3" t="str">
        <f aca="false">IF(COUNTIF(Final_CB_R8_V5!$B$8:$B$20345,A325)&gt;=1,"YES","NO")</f>
        <v>YES</v>
      </c>
      <c r="C325" s="3" t="s">
        <v>2004</v>
      </c>
      <c r="D325" s="3" t="str">
        <f aca="false">IF(COUNTIF(Final_CB_R8_V5!$C$8:$C$2345,C325)&gt;=1,"YES","NO")</f>
        <v>YES</v>
      </c>
      <c r="G325" s="4" t="str">
        <f aca="false">IFERROR(__xludf.dummyfunction("""COMPUTED_VALUE"""),"suggestion::change::(test::fixes)")</f>
        <v>suggestion::change::(test::fixes)</v>
      </c>
      <c r="H325" s="4" t="str">
        <f aca="false">IFERROR(__xludf.dummyfunction("""COMPUTED_VALUE"""),"ready::approval::for::submitting::(vote7)::(core::reviewer)")</f>
        <v>ready::approval::for::submitting::(vote7)::(core::reviewer)</v>
      </c>
    </row>
    <row r="326" customFormat="false" ht="15.75" hidden="false" customHeight="false" outlineLevel="0" collapsed="false">
      <c r="A326" s="3" t="s">
        <v>1940</v>
      </c>
      <c r="B326" s="3" t="str">
        <f aca="false">IF(COUNTIF(Final_CB_R8_V5!$B$8:$B$20345,A326)&gt;=1,"YES","NO")</f>
        <v>YES</v>
      </c>
      <c r="C326" s="3" t="s">
        <v>2005</v>
      </c>
      <c r="D326" s="3" t="str">
        <f aca="false">IF(COUNTIF(Final_CB_R8_V5!$C$8:$C$2345,C326)&gt;=1,"YES","NO")</f>
        <v>YES</v>
      </c>
      <c r="G326" s="4" t="str">
        <f aca="false">IFERROR(__xludf.dummyfunction("""COMPUTED_VALUE"""),"suggestion::change::(translation::i18n)")</f>
        <v>suggestion::change::(translation::i18n)</v>
      </c>
      <c r="H326" s="4" t="str">
        <f aca="false">IFERROR(__xludf.dummyfunction("""COMPUTED_VALUE"""),"ready::approval::for::submitting::(vote8)")</f>
        <v>ready::approval::for::submitting::(vote8)</v>
      </c>
    </row>
    <row r="327" customFormat="false" ht="15.75" hidden="false" customHeight="false" outlineLevel="0" collapsed="false">
      <c r="A327" s="3" t="s">
        <v>2006</v>
      </c>
      <c r="B327" s="3" t="str">
        <f aca="false">IF(COUNTIF(Final_CB_R8_V5!$B$8:$B$20345,A327)&gt;=1,"YES","NO")</f>
        <v>YES</v>
      </c>
      <c r="C327" s="3" t="s">
        <v>2007</v>
      </c>
      <c r="D327" s="3" t="str">
        <f aca="false">IF(COUNTIF(Final_CB_R8_V5!$C$8:$C$2345,C327)&gt;=1,"YES","NO")</f>
        <v>YES</v>
      </c>
      <c r="G327" s="4" t="str">
        <f aca="false">IFERROR(__xludf.dummyfunction("""COMPUTED_VALUE"""),"suggestion::change::(undefined::value)")</f>
        <v>suggestion::change::(undefined::value)</v>
      </c>
      <c r="H327" s="4" t="str">
        <f aca="false">IFERROR(__xludf.dummyfunction("""COMPUTED_VALUE"""),"ready::approval::for::submitting::(vote8)::(core::reviewer)")</f>
        <v>ready::approval::for::submitting::(vote8)::(core::reviewer)</v>
      </c>
    </row>
    <row r="328" customFormat="false" ht="15.75" hidden="false" customHeight="false" outlineLevel="0" collapsed="false">
      <c r="A328" s="3" t="s">
        <v>2008</v>
      </c>
      <c r="B328" s="3" t="str">
        <f aca="false">IF(COUNTIF(Final_CB_R8_V5!$B$8:$B$20345,A328)&gt;=1,"YES","NO")</f>
        <v>YES</v>
      </c>
      <c r="C328" s="3" t="s">
        <v>2009</v>
      </c>
      <c r="D328" s="3" t="str">
        <f aca="false">IF(COUNTIF(Final_CB_R8_V5!$C$8:$C$2345,C328)&gt;=1,"YES","NO")</f>
        <v>YES</v>
      </c>
      <c r="G328" s="4" t="str">
        <f aca="false">IFERROR(__xludf.dummyfunction("""COMPUTED_VALUE"""),"suggestion::change::(unrelated::changes)")</f>
        <v>suggestion::change::(unrelated::changes)</v>
      </c>
      <c r="H328" s="4" t="str">
        <f aca="false">IFERROR(__xludf.dummyfunction("""COMPUTED_VALUE"""),"ready::approval::for::submitting::(vote9)")</f>
        <v>ready::approval::for::submitting::(vote9)</v>
      </c>
    </row>
    <row r="329" customFormat="false" ht="15.75" hidden="false" customHeight="false" outlineLevel="0" collapsed="false">
      <c r="A329" s="3" t="s">
        <v>2010</v>
      </c>
      <c r="B329" s="3" t="str">
        <f aca="false">IF(COUNTIF(Final_CB_R8_V5!$B$8:$B$20345,A329)&gt;=1,"YES","NO")</f>
        <v>YES</v>
      </c>
      <c r="C329" s="3" t="s">
        <v>2011</v>
      </c>
      <c r="D329" s="3" t="str">
        <f aca="false">IF(COUNTIF(Final_CB_R8_V5!$C$8:$C$2345,C329)&gt;=1,"YES","NO")</f>
        <v>YES</v>
      </c>
      <c r="G329" s="4" t="str">
        <f aca="false">IFERROR(__xludf.dummyfunction("""COMPUTED_VALUE"""),"suggestion::change::(use::mixin)")</f>
        <v>suggestion::change::(use::mixin)</v>
      </c>
      <c r="H329" s="4" t="str">
        <f aca="false">IFERROR(__xludf.dummyfunction("""COMPUTED_VALUE"""),"ready::approval::for::submitting::(vote9)::(core::reviewer)")</f>
        <v>ready::approval::for::submitting::(vote9)::(core::reviewer)</v>
      </c>
    </row>
    <row r="330" customFormat="false" ht="15.75" hidden="false" customHeight="false" outlineLevel="0" collapsed="false">
      <c r="A330" s="3" t="s">
        <v>2012</v>
      </c>
      <c r="B330" s="3" t="str">
        <f aca="false">IF(COUNTIF(Final_CB_R8_V5!$B$8:$B$20345,A330)&gt;=1,"YES","NO")</f>
        <v>YES</v>
      </c>
      <c r="C330" s="3" t="s">
        <v>2013</v>
      </c>
      <c r="D330" s="3" t="str">
        <f aca="false">IF(COUNTIF(Final_CB_R8_V5!$C$8:$C$2345,C330)&gt;=1,"YES","NO")</f>
        <v>YES</v>
      </c>
      <c r="G330" s="4" t="str">
        <f aca="false">IFERROR(__xludf.dummyfunction("""COMPUTED_VALUE"""),"suggestion::change::(use::python::api)")</f>
        <v>suggestion::change::(use::python::api)</v>
      </c>
      <c r="H330" s="4" t="str">
        <f aca="false">IFERROR(__xludf.dummyfunction("""COMPUTED_VALUE"""),"reatracting::suggestion::change::(change::input::parameter)")</f>
        <v>reatracting::suggestion::change::(change::input::parameter)</v>
      </c>
    </row>
    <row r="331" customFormat="false" ht="15.75" hidden="false" customHeight="false" outlineLevel="0" collapsed="false">
      <c r="A331" s="3" t="s">
        <v>2014</v>
      </c>
      <c r="B331" s="3" t="str">
        <f aca="false">IF(COUNTIF(Final_CB_R8_V5!$B$8:$B$20345,A331)&gt;=1,"YES","NO")</f>
        <v>YES</v>
      </c>
      <c r="C331" s="3" t="s">
        <v>2015</v>
      </c>
      <c r="D331" s="3" t="str">
        <f aca="false">IF(COUNTIF(Final_CB_R8_V5!$C$8:$C$2345,C331)&gt;=1,"YES","NO")</f>
        <v>YES</v>
      </c>
      <c r="G331" s="4" t="str">
        <f aca="false">IFERROR(__xludf.dummyfunction("""COMPUTED_VALUE"""),"suggestion::change::(versioning)")</f>
        <v>suggestion::change::(versioning)</v>
      </c>
      <c r="H331" s="4" t="str">
        <f aca="false">IFERROR(__xludf.dummyfunction("""COMPUTED_VALUE"""),"reference::another::developer")</f>
        <v>reference::another::developer</v>
      </c>
    </row>
    <row r="332" customFormat="false" ht="15.75" hidden="false" customHeight="false" outlineLevel="0" collapsed="false">
      <c r="A332" s="3" t="s">
        <v>2016</v>
      </c>
      <c r="B332" s="3" t="str">
        <f aca="false">IF(COUNTIF(Final_CB_R8_V5!$B$8:$B$20345,A332)&gt;=1,"YES","NO")</f>
        <v>YES</v>
      </c>
      <c r="C332" s="3" t="s">
        <v>2017</v>
      </c>
      <c r="D332" s="3" t="str">
        <f aca="false">IF(COUNTIF(Final_CB_R8_V5!$C$8:$C$2345,C332)&gt;=1,"YES","NO")</f>
        <v>YES</v>
      </c>
      <c r="G332" s="4" t="str">
        <f aca="false">IFERROR(__xludf.dummyfunction("""COMPUTED_VALUE"""),"suggestion::content::change::(commit::message::authorship)")</f>
        <v>suggestion::content::change::(commit::message::authorship)</v>
      </c>
      <c r="H332" s="4" t="str">
        <f aca="false">IFERROR(__xludf.dummyfunction("""COMPUTED_VALUE"""),"referes::external::url")</f>
        <v>referes::external::url</v>
      </c>
    </row>
    <row r="333" customFormat="false" ht="15.75" hidden="false" customHeight="false" outlineLevel="0" collapsed="false">
      <c r="A333" s="3" t="s">
        <v>2018</v>
      </c>
      <c r="B333" s="3" t="str">
        <f aca="false">IF(COUNTIF(Final_CB_R8_V5!$B$8:$B$20345,A333)&gt;=1,"YES","NO")</f>
        <v>YES</v>
      </c>
      <c r="C333" s="3" t="s">
        <v>2019</v>
      </c>
      <c r="D333" s="3" t="str">
        <f aca="false">IF(COUNTIF(Final_CB_R8_V5!$C$8:$C$2345,C333)&gt;=1,"YES","NO")</f>
        <v>YES</v>
      </c>
      <c r="G333" s="4" t="str">
        <f aca="false">IFERROR(__xludf.dummyfunction("""COMPUTED_VALUE"""),"suggestion::logging::(for::debugging)")</f>
        <v>suggestion::logging::(for::debugging)</v>
      </c>
      <c r="H333" s="4" t="str">
        <f aca="false">IFERROR(__xludf.dummyfunction("""COMPUTED_VALUE"""),"referes::to::a::review")</f>
        <v>referes::to::a::review</v>
      </c>
    </row>
    <row r="334" customFormat="false" ht="15.75" hidden="false" customHeight="false" outlineLevel="0" collapsed="false">
      <c r="A334" s="3" t="s">
        <v>2020</v>
      </c>
      <c r="B334" s="3" t="str">
        <f aca="false">IF(COUNTIF(Final_CB_R8_V5!$B$8:$B$20345,A334)&gt;=1,"YES","NO")</f>
        <v>YES</v>
      </c>
      <c r="C334" s="3" t="s">
        <v>2021</v>
      </c>
      <c r="D334" s="3" t="str">
        <f aca="false">IF(COUNTIF(Final_CB_R8_V5!$C$8:$C$2345,C334)&gt;=1,"YES","NO")</f>
        <v>YES</v>
      </c>
      <c r="G334" s="4" t="str">
        <f aca="false">IFERROR(__xludf.dummyfunction("""COMPUTED_VALUE"""),"suggestion::manual::testing")</f>
        <v>suggestion::manual::testing</v>
      </c>
      <c r="H334" s="4" t="str">
        <f aca="false">IFERROR(__xludf.dummyfunction("""COMPUTED_VALUE"""),"referes::to::code::(elsewhere)::as::assistance")</f>
        <v>referes::to::code::(elsewhere)::as::assistance</v>
      </c>
    </row>
    <row r="335" customFormat="false" ht="15.75" hidden="false" customHeight="false" outlineLevel="0" collapsed="false">
      <c r="A335" s="3" t="s">
        <v>2022</v>
      </c>
      <c r="B335" s="3" t="str">
        <f aca="false">IF(COUNTIF(Final_CB_R8_V5!$B$8:$B$20345,A335)&gt;=1,"YES","NO")</f>
        <v>YES</v>
      </c>
      <c r="C335" s="3" t="s">
        <v>2023</v>
      </c>
      <c r="D335" s="3" t="str">
        <f aca="false">IF(COUNTIF(Final_CB_R8_V5!$C$8:$C$2345,C335)&gt;=1,"YES","NO")</f>
        <v>YES</v>
      </c>
      <c r="G335" s="4" t="str">
        <f aca="false">IFERROR(__xludf.dummyfunction("""COMPUTED_VALUE"""),"suggestion::move:.the::changes:.to::different::patch::(new::patch)")</f>
        <v>suggestion::move:.the::changes:.to::different::patch::(new::patch)</v>
      </c>
      <c r="H335" s="4" t="str">
        <f aca="false">IFERROR(__xludf.dummyfunction("""COMPUTED_VALUE"""),"referes::to::comment::(other::PR)")</f>
        <v>referes::to::comment::(other::PR)</v>
      </c>
    </row>
    <row r="336" customFormat="false" ht="15.75" hidden="false" customHeight="false" outlineLevel="0" collapsed="false">
      <c r="A336" s="3" t="s">
        <v>2024</v>
      </c>
      <c r="B336" s="3" t="str">
        <f aca="false">IF(COUNTIF(Final_CB_R8_V5!$B$8:$B$20345,A336)&gt;=1,"YES","NO")</f>
        <v>YES</v>
      </c>
      <c r="C336" s="3" t="s">
        <v>2025</v>
      </c>
      <c r="D336" s="3" t="str">
        <f aca="false">IF(COUNTIF(Final_CB_R8_V5!$C$8:$C$2345,C336)&gt;=1,"YES","NO")</f>
        <v>YES</v>
      </c>
      <c r="G336" s="4" t="str">
        <f aca="false">IFERROR(__xludf.dummyfunction("""COMPUTED_VALUE"""),"suggestion::rebase")</f>
        <v>suggestion::rebase</v>
      </c>
      <c r="H336" s="4" t="str">
        <f aca="false">IFERROR(__xludf.dummyfunction("""COMPUTED_VALUE"""),"referes::to::email::snippet::(solution)")</f>
        <v>referes::to::email::snippet::(solution)</v>
      </c>
    </row>
    <row r="337" customFormat="false" ht="15.75" hidden="false" customHeight="false" outlineLevel="0" collapsed="false">
      <c r="A337" s="3" t="s">
        <v>2026</v>
      </c>
      <c r="B337" s="3" t="str">
        <f aca="false">IF(COUNTIF(Final_CB_R8_V5!$B$8:$B$20345,A337)&gt;=1,"YES","NO")</f>
        <v>YES</v>
      </c>
      <c r="C337" s="3" t="s">
        <v>2027</v>
      </c>
      <c r="D337" s="3" t="str">
        <f aca="false">IF(COUNTIF(Final_CB_R8_V5!$C$8:$C$2345,C337)&gt;=1,"YES","NO")</f>
        <v>YES</v>
      </c>
      <c r="G337" s="4" t="str">
        <f aca="false">IFERROR(__xludf.dummyfunction("""COMPUTED_VALUE"""),"suggestion::refactoring")</f>
        <v>suggestion::refactoring</v>
      </c>
      <c r="H337" s="4" t="str">
        <f aca="false">IFERROR(__xludf.dummyfunction("""COMPUTED_VALUE"""),"referes::to::guides::(developer::guides)")</f>
        <v>referes::to::guides::(developer::guides)</v>
      </c>
    </row>
    <row r="338" customFormat="false" ht="15.75" hidden="false" customHeight="false" outlineLevel="0" collapsed="false">
      <c r="A338" s="3" t="s">
        <v>2028</v>
      </c>
      <c r="B338" s="3" t="str">
        <f aca="false">IF(COUNTIF(Final_CB_R8_V5!$B$8:$B$20345,A338)&gt;=1,"YES","NO")</f>
        <v>YES</v>
      </c>
      <c r="C338" s="3" t="s">
        <v>2029</v>
      </c>
      <c r="D338" s="3" t="str">
        <f aca="false">IF(COUNTIF(Final_CB_R8_V5!$C$8:$C$2345,C338)&gt;=1,"YES","NO")</f>
        <v>YES</v>
      </c>
      <c r="G338" s="4" t="str">
        <f aca="false">IFERROR(__xludf.dummyfunction("""COMPUTED_VALUE"""),"suggestion::refactoring::(accessibility::modifiers)")</f>
        <v>suggestion::refactoring::(accessibility::modifiers)</v>
      </c>
      <c r="H338" s="4" t="str">
        <f aca="false">IFERROR(__xludf.dummyfunction("""COMPUTED_VALUE"""),"referes::to::logs::(migrations)")</f>
        <v>referes::to::logs::(migrations)</v>
      </c>
    </row>
    <row r="339" customFormat="false" ht="15.75" hidden="false" customHeight="false" outlineLevel="0" collapsed="false">
      <c r="A339" s="3" t="s">
        <v>2030</v>
      </c>
      <c r="B339" s="3" t="str">
        <f aca="false">IF(COUNTIF(Final_CB_R8_V5!$B$8:$B$20345,A339)&gt;=1,"YES","NO")</f>
        <v>YES</v>
      </c>
      <c r="C339" s="3" t="s">
        <v>2031</v>
      </c>
      <c r="D339" s="3" t="str">
        <f aca="false">IF(COUNTIF(Final_CB_R8_V5!$C$8:$C$2345,C339)&gt;=1,"YES","NO")</f>
        <v>YES</v>
      </c>
      <c r="G339" s="4" t="str">
        <f aca="false">IFERROR(__xludf.dummyfunction("""COMPUTED_VALUE"""),"suggestion::refactoring::(code::wont::work)")</f>
        <v>suggestion::refactoring::(code::wont::work)</v>
      </c>
      <c r="H339" s="4" t="str">
        <f aca="false">IFERROR(__xludf.dummyfunction("""COMPUTED_VALUE"""),"referes::to::related::commit")</f>
        <v>referes::to::related::commit</v>
      </c>
    </row>
    <row r="340" customFormat="false" ht="15.75" hidden="false" customHeight="false" outlineLevel="0" collapsed="false">
      <c r="A340" s="3" t="s">
        <v>1943</v>
      </c>
      <c r="B340" s="3" t="str">
        <f aca="false">IF(COUNTIF(Final_CB_R8_V5!$B$8:$B$20345,A340)&gt;=1,"YES","NO")</f>
        <v>YES</v>
      </c>
      <c r="C340" s="3" t="s">
        <v>2032</v>
      </c>
      <c r="D340" s="3" t="str">
        <f aca="false">IF(COUNTIF(Final_CB_R8_V5!$C$8:$C$2345,C340)&gt;=1,"YES","NO")</f>
        <v>YES</v>
      </c>
      <c r="G340" s="4" t="str">
        <f aca="false">IFERROR(__xludf.dummyfunction("""COMPUTED_VALUE"""),"suggestion::refactoring::(function::parameters)")</f>
        <v>suggestion::refactoring::(function::parameters)</v>
      </c>
      <c r="H340" s="4" t="str">
        <f aca="false">IFERROR(__xludf.dummyfunction("""COMPUTED_VALUE"""),"referes::to::related::PR")</f>
        <v>referes::to::related::PR</v>
      </c>
    </row>
    <row r="341" customFormat="false" ht="15.75" hidden="false" customHeight="false" outlineLevel="0" collapsed="false">
      <c r="A341" s="3" t="s">
        <v>1946</v>
      </c>
      <c r="B341" s="3" t="str">
        <f aca="false">IF(COUNTIF(Final_CB_R8_V5!$B$8:$B$20345,A341)&gt;=1,"YES","NO")</f>
        <v>YES</v>
      </c>
      <c r="C341" s="3" t="s">
        <v>2033</v>
      </c>
      <c r="D341" s="3" t="str">
        <f aca="false">IF(COUNTIF(Final_CB_R8_V5!$C$8:$C$2345,C341)&gt;=1,"YES","NO")</f>
        <v>YES</v>
      </c>
      <c r="G341" s="4" t="str">
        <f aca="false">IFERROR(__xludf.dummyfunction("""COMPUTED_VALUE"""),"suggestion::refactoring::(import::modules::not::objects)")</f>
        <v>suggestion::refactoring::(import::modules::not::objects)</v>
      </c>
      <c r="H341" s="4" t="str">
        <f aca="false">IFERROR(__xludf.dummyfunction("""COMPUTED_VALUE"""),"refers::to::mailinglist")</f>
        <v>refers::to::mailinglist</v>
      </c>
    </row>
    <row r="342" customFormat="false" ht="15.75" hidden="false" customHeight="false" outlineLevel="0" collapsed="false">
      <c r="A342" s="3" t="s">
        <v>2034</v>
      </c>
      <c r="B342" s="3" t="str">
        <f aca="false">IF(COUNTIF(Final_CB_R8_V5!$B$8:$B$20345,A342)&gt;=1,"YES","NO")</f>
        <v>YES</v>
      </c>
      <c r="C342" s="3" t="s">
        <v>2035</v>
      </c>
      <c r="D342" s="3" t="str">
        <f aca="false">IF(COUNTIF(Final_CB_R8_V5!$C$8:$C$2345,C342)&gt;=1,"YES","NO")</f>
        <v>YES</v>
      </c>
      <c r="G342" s="4" t="str">
        <f aca="false">IFERROR(__xludf.dummyfunction("""COMPUTED_VALUE"""),"suggestion::refactoring::(introduce::parameter::defaults)")</f>
        <v>suggestion::refactoring::(introduce::parameter::defaults)</v>
      </c>
      <c r="H342" s="4" t="str">
        <f aca="false">IFERROR(__xludf.dummyfunction("""COMPUTED_VALUE"""),"request::not::mergeFFE::(feature::freeze::exception)::close")</f>
        <v>request::not::mergeFFE::(feature::freeze::exception)::close</v>
      </c>
    </row>
    <row r="343" customFormat="false" ht="15.75" hidden="false" customHeight="false" outlineLevel="0" collapsed="false">
      <c r="A343" s="3" t="s">
        <v>1952</v>
      </c>
      <c r="B343" s="3" t="str">
        <f aca="false">IF(COUNTIF(Final_CB_R8_V5!$B$8:$B$20345,A343)&gt;=1,"YES","NO")</f>
        <v>YES</v>
      </c>
      <c r="C343" s="3" t="s">
        <v>2036</v>
      </c>
      <c r="D343" s="3" t="str">
        <f aca="false">IF(COUNTIF(Final_CB_R8_V5!$C$8:$C$2345,C343)&gt;=1,"YES","NO")</f>
        <v>YES</v>
      </c>
      <c r="G343" s="4" t="str">
        <f aca="false">IFERROR(__xludf.dummyfunction("""COMPUTED_VALUE"""),"suggestion::refactoring::(linting)")</f>
        <v>suggestion::refactoring::(linting)</v>
      </c>
      <c r="H343" s="4" t="str">
        <f aca="false">IFERROR(__xludf.dummyfunction("""COMPUTED_VALUE"""),"request::of::rebase")</f>
        <v>request::of::rebase</v>
      </c>
    </row>
    <row r="344" customFormat="false" ht="15.75" hidden="false" customHeight="false" outlineLevel="0" collapsed="false">
      <c r="A344" s="3" t="s">
        <v>2037</v>
      </c>
      <c r="B344" s="3" t="str">
        <f aca="false">IF(COUNTIF(Final_CB_R8_V5!$B$8:$B$20345,A344)&gt;=1,"YES","NO")</f>
        <v>YES</v>
      </c>
      <c r="C344" s="3" t="s">
        <v>2038</v>
      </c>
      <c r="D344" s="3" t="str">
        <f aca="false">IF(COUNTIF(Final_CB_R8_V5!$C$8:$C$2345,C344)&gt;=1,"YES","NO")</f>
        <v>YES</v>
      </c>
      <c r="G344" s="4" t="str">
        <f aca="false">IFERROR(__xludf.dummyfunction("""COMPUTED_VALUE"""),"suggestion::refactoring::(move::logic)")</f>
        <v>suggestion::refactoring::(move::logic)</v>
      </c>
      <c r="H344" s="4" t="str">
        <f aca="false">IFERROR(__xludf.dummyfunction("""COMPUTED_VALUE"""),"requesting::check::pylint")</f>
        <v>requesting::check::pylint</v>
      </c>
    </row>
    <row r="345" customFormat="false" ht="15.75" hidden="false" customHeight="false" outlineLevel="0" collapsed="false">
      <c r="A345" s="3" t="s">
        <v>2039</v>
      </c>
      <c r="B345" s="3" t="str">
        <f aca="false">IF(COUNTIF(Final_CB_R8_V5!$B$8:$B$20345,A345)&gt;=1,"YES","NO")</f>
        <v>YES</v>
      </c>
      <c r="C345" s="3" t="s">
        <v>2040</v>
      </c>
      <c r="D345" s="3" t="str">
        <f aca="false">IF(COUNTIF(Final_CB_R8_V5!$C$8:$C$2345,C345)&gt;=1,"YES","NO")</f>
        <v>YES</v>
      </c>
      <c r="G345" s="4" t="str">
        <f aca="false">IFERROR(__xludf.dummyfunction("""COMPUTED_VALUE"""),"suggestion::refactoring::(naming)")</f>
        <v>suggestion::refactoring::(naming)</v>
      </c>
      <c r="H345" s="4" t="str">
        <f aca="false">IFERROR(__xludf.dummyfunction("""COMPUTED_VALUE"""),"requesting::execution::of::CI::system")</f>
        <v>requesting::execution::of::CI::system</v>
      </c>
    </row>
    <row r="346" customFormat="false" ht="15.75" hidden="false" customHeight="false" outlineLevel="0" collapsed="false">
      <c r="A346" s="3" t="s">
        <v>2041</v>
      </c>
      <c r="B346" s="3" t="str">
        <f aca="false">IF(COUNTIF(Final_CB_R8_V5!$B$8:$B$20345,A346)&gt;=1,"YES","NO")</f>
        <v>YES</v>
      </c>
      <c r="C346" s="3" t="s">
        <v>2042</v>
      </c>
      <c r="D346" s="3" t="str">
        <f aca="false">IF(COUNTIF(Final_CB_R8_V5!$C$8:$C$2345,C346)&gt;=1,"YES","NO")</f>
        <v>YES</v>
      </c>
      <c r="G346" s="4" t="str">
        <f aca="false">IFERROR(__xludf.dummyfunction("""COMPUTED_VALUE"""),"suggestion::refactoring::(naming::class)")</f>
        <v>suggestion::refactoring::(naming::class)</v>
      </c>
      <c r="H346" s="4" t="str">
        <f aca="false">IFERROR(__xludf.dummyfunction("""COMPUTED_VALUE"""),"requesting::more::tests::(coverage2)")</f>
        <v>requesting::more::tests::(coverage2)</v>
      </c>
    </row>
    <row r="347" customFormat="false" ht="15.75" hidden="false" customHeight="false" outlineLevel="0" collapsed="false">
      <c r="A347" s="3" t="s">
        <v>2043</v>
      </c>
      <c r="B347" s="3" t="str">
        <f aca="false">IF(COUNTIF(Final_CB_R8_V5!$B$8:$B$20345,A347)&gt;=1,"YES","NO")</f>
        <v>YES</v>
      </c>
      <c r="C347" s="3" t="s">
        <v>2044</v>
      </c>
      <c r="D347" s="3" t="str">
        <f aca="false">IF(COUNTIF(Final_CB_R8_V5!$C$8:$C$2345,C347)&gt;=1,"YES","NO")</f>
        <v>YES</v>
      </c>
      <c r="G347" s="4" t="str">
        <f aca="false">IFERROR(__xludf.dummyfunction("""COMPUTED_VALUE"""),"suggestion::refactoring::(naming::function)")</f>
        <v>suggestion::refactoring::(naming::function)</v>
      </c>
      <c r="H347" s="4" t="str">
        <f aca="false">IFERROR(__xludf.dummyfunction("""COMPUTED_VALUE"""),"requesting::of::checking::different::bug")</f>
        <v>requesting::of::checking::different::bug</v>
      </c>
    </row>
    <row r="348" customFormat="false" ht="15.75" hidden="false" customHeight="false" outlineLevel="0" collapsed="false">
      <c r="A348" s="3" t="s">
        <v>2045</v>
      </c>
      <c r="B348" s="3" t="str">
        <f aca="false">IF(COUNTIF(Final_CB_R8_V5!$B$8:$B$20345,A348)&gt;=1,"YES","NO")</f>
        <v>YES</v>
      </c>
      <c r="C348" s="3" t="s">
        <v>2046</v>
      </c>
      <c r="D348" s="3" t="str">
        <f aca="false">IF(COUNTIF(Final_CB_R8_V5!$C$8:$C$2345,C348)&gt;=1,"YES","NO")</f>
        <v>YES</v>
      </c>
      <c r="G348" s="4" t="str">
        <f aca="false">IFERROR(__xludf.dummyfunction("""COMPUTED_VALUE"""),"suggestion::refactoring::(naming::variable)")</f>
        <v>suggestion::refactoring::(naming::variable)</v>
      </c>
      <c r="H348" s="4" t="str">
        <f aca="false">IFERROR(__xludf.dummyfunction("""COMPUTED_VALUE"""),"requesting::of::checking::different::bug2")</f>
        <v>requesting::of::checking::different::bug2</v>
      </c>
    </row>
    <row r="349" customFormat="false" ht="15.75" hidden="false" customHeight="false" outlineLevel="0" collapsed="false">
      <c r="A349" s="3" t="s">
        <v>2047</v>
      </c>
      <c r="B349" s="3" t="str">
        <f aca="false">IF(COUNTIF(Final_CB_R8_V5!$B$8:$B$20345,A349)&gt;=1,"YES","NO")</f>
        <v>YES</v>
      </c>
      <c r="C349" s="3" t="s">
        <v>2048</v>
      </c>
      <c r="D349" s="3" t="str">
        <f aca="false">IF(COUNTIF(Final_CB_R8_V5!$C$8:$C$2345,C349)&gt;=1,"YES","NO")</f>
        <v>YES</v>
      </c>
      <c r="G349" s="4" t="str">
        <f aca="false">IFERROR(__xludf.dummyfunction("""COMPUTED_VALUE"""),"suggestion::refactoring::(optional::improvement)")</f>
        <v>suggestion::refactoring::(optional::improvement)</v>
      </c>
      <c r="H349" s="4" t="str">
        <f aca="false">IFERROR(__xludf.dummyfunction("""COMPUTED_VALUE"""),"requesting::of::checking::different::bug3")</f>
        <v>requesting::of::checking::different::bug3</v>
      </c>
    </row>
    <row r="350" customFormat="false" ht="15.75" hidden="false" customHeight="false" outlineLevel="0" collapsed="false">
      <c r="A350" s="3" t="s">
        <v>1966</v>
      </c>
      <c r="B350" s="3" t="str">
        <f aca="false">IF(COUNTIF(Final_CB_R8_V5!$B$8:$B$20345,A350)&gt;=1,"YES","NO")</f>
        <v>YES</v>
      </c>
      <c r="C350" s="3" t="s">
        <v>2049</v>
      </c>
      <c r="D350" s="3" t="str">
        <f aca="false">IF(COUNTIF(Final_CB_R8_V5!$C$8:$C$2345,C350)&gt;=1,"YES","NO")</f>
        <v>YES</v>
      </c>
      <c r="G350" s="4" t="str">
        <f aca="false">IFERROR(__xludf.dummyfunction("""COMPUTED_VALUE"""),"suggestion::refactoring::(performance)")</f>
        <v>suggestion::refactoring::(performance)</v>
      </c>
      <c r="H350" s="4" t="str">
        <f aca="false">IFERROR(__xludf.dummyfunction("""COMPUTED_VALUE"""),"requesting::of::checking::different::bug4")</f>
        <v>requesting::of::checking::different::bug4</v>
      </c>
    </row>
    <row r="351" customFormat="false" ht="15.75" hidden="false" customHeight="false" outlineLevel="0" collapsed="false">
      <c r="A351" s="3" t="s">
        <v>2050</v>
      </c>
      <c r="B351" s="3" t="str">
        <f aca="false">IF(COUNTIF(Final_CB_R8_V5!$B$8:$B$20345,A351)&gt;=1,"YES","NO")</f>
        <v>YES</v>
      </c>
      <c r="C351" s="3" t="s">
        <v>2051</v>
      </c>
      <c r="D351" s="3" t="str">
        <f aca="false">IF(COUNTIF(Final_CB_R8_V5!$C$8:$C$2345,C351)&gt;=1,"YES","NO")</f>
        <v>YES</v>
      </c>
      <c r="G351" s="4" t="str">
        <f aca="false">IFERROR(__xludf.dummyfunction("""COMPUTED_VALUE"""),"suggestion::refactoring::(performance)::with::code")</f>
        <v>suggestion::refactoring::(performance)::with::code</v>
      </c>
      <c r="H351" s="4" t="str">
        <f aca="false">IFERROR(__xludf.dummyfunction("""COMPUTED_VALUE"""),"requesting::of::checking::different::bug5")</f>
        <v>requesting::of::checking::different::bug5</v>
      </c>
    </row>
    <row r="352" customFormat="false" ht="15.75" hidden="false" customHeight="false" outlineLevel="0" collapsed="false">
      <c r="A352" s="3" t="s">
        <v>1967</v>
      </c>
      <c r="B352" s="3" t="str">
        <f aca="false">IF(COUNTIF(Final_CB_R8_V5!$B$8:$B$20345,A352)&gt;=1,"YES","NO")</f>
        <v>YES</v>
      </c>
      <c r="C352" s="3" t="s">
        <v>2052</v>
      </c>
      <c r="D352" s="3" t="str">
        <f aca="false">IF(COUNTIF(Final_CB_R8_V5!$C$8:$C$2345,C352)&gt;=1,"YES","NO")</f>
        <v>YES</v>
      </c>
      <c r="G352" s="4" t="str">
        <f aca="false">IFERROR(__xludf.dummyfunction("""COMPUTED_VALUE"""),"suggestion::refactoring::(remove::parameter::defaults)")</f>
        <v>suggestion::refactoring::(remove::parameter::defaults)</v>
      </c>
      <c r="H352" s="4" t="str">
        <f aca="false">IFERROR(__xludf.dummyfunction("""COMPUTED_VALUE"""),"requesting::of::checking::different::bug6")</f>
        <v>requesting::of::checking::different::bug6</v>
      </c>
    </row>
    <row r="353" customFormat="false" ht="15.75" hidden="false" customHeight="false" outlineLevel="0" collapsed="false">
      <c r="A353" s="3" t="s">
        <v>2053</v>
      </c>
      <c r="B353" s="3" t="str">
        <f aca="false">IF(COUNTIF(Final_CB_R8_V5!$B$8:$B$20345,A353)&gt;=1,"YES","NO")</f>
        <v>YES</v>
      </c>
      <c r="C353" s="3" t="s">
        <v>2054</v>
      </c>
      <c r="D353" s="3" t="str">
        <f aca="false">IF(COUNTIF(Final_CB_R8_V5!$C$8:$C$2345,C353)&gt;=1,"YES","NO")</f>
        <v>YES</v>
      </c>
      <c r="G353" s="4" t="str">
        <f aca="false">IFERROR(__xludf.dummyfunction("""COMPUTED_VALUE"""),"suggestion::refactoring::(remove::unnecessary::parameter)")</f>
        <v>suggestion::refactoring::(remove::unnecessary::parameter)</v>
      </c>
      <c r="H353" s="4" t="str">
        <f aca="false">IFERROR(__xludf.dummyfunction("""COMPUTED_VALUE"""),"requesting::of::checking::different::bug7")</f>
        <v>requesting::of::checking::different::bug7</v>
      </c>
    </row>
    <row r="354" customFormat="false" ht="15.75" hidden="false" customHeight="false" outlineLevel="0" collapsed="false">
      <c r="A354" s="3" t="s">
        <v>2055</v>
      </c>
      <c r="B354" s="3" t="str">
        <f aca="false">IF(COUNTIF(Final_CB_R8_V5!$B$8:$B$20345,A354)&gt;=1,"YES","NO")</f>
        <v>YES</v>
      </c>
      <c r="C354" s="3" t="s">
        <v>2056</v>
      </c>
      <c r="D354" s="3" t="str">
        <f aca="false">IF(COUNTIF(Final_CB_R8_V5!$C$8:$C$2345,C354)&gt;=1,"YES","NO")</f>
        <v>YES</v>
      </c>
      <c r="G354" s="4" t="str">
        <f aca="false">IFERROR(__xludf.dummyfunction("""COMPUTED_VALUE"""),"suggestion::refactoring::(removing::not::thread::safe::code)")</f>
        <v>suggestion::refactoring::(removing::not::thread::safe::code)</v>
      </c>
      <c r="H354" s="4" t="str">
        <f aca="false">IFERROR(__xludf.dummyfunction("""COMPUTED_VALUE"""),"requesting::of::checking::different::review")</f>
        <v>requesting::of::checking::different::review</v>
      </c>
    </row>
    <row r="355" customFormat="false" ht="15.75" hidden="false" customHeight="false" outlineLevel="0" collapsed="false">
      <c r="A355" s="3" t="s">
        <v>1968</v>
      </c>
      <c r="B355" s="3" t="str">
        <f aca="false">IF(COUNTIF(Final_CB_R8_V5!$B$8:$B$20345,A355)&gt;=1,"YES","NO")</f>
        <v>YES</v>
      </c>
      <c r="C355" s="3" t="s">
        <v>2057</v>
      </c>
      <c r="D355" s="3" t="str">
        <f aca="false">IF(COUNTIF(Final_CB_R8_V5!$C$8:$C$2345,C355)&gt;=1,"YES","NO")</f>
        <v>YES</v>
      </c>
      <c r="G355" s="4" t="str">
        <f aca="false">IFERROR(__xludf.dummyfunction("""COMPUTED_VALUE"""),"suggestion::refactoring::(removing::unnecessary::code)")</f>
        <v>suggestion::refactoring::(removing::unnecessary::code)</v>
      </c>
      <c r="H355" s="4" t="str">
        <f aca="false">IFERROR(__xludf.dummyfunction("""COMPUTED_VALUE"""),"requesting::reverify")</f>
        <v>requesting::reverify</v>
      </c>
    </row>
    <row r="356" customFormat="false" ht="15.75" hidden="false" customHeight="false" outlineLevel="0" collapsed="false">
      <c r="A356" s="3" t="s">
        <v>2058</v>
      </c>
      <c r="B356" s="3" t="str">
        <f aca="false">IF(COUNTIF(Final_CB_R8_V5!$B$8:$B$20345,A356)&gt;=1,"YES","NO")</f>
        <v>YES</v>
      </c>
      <c r="C356" s="3" t="s">
        <v>2059</v>
      </c>
      <c r="D356" s="3" t="str">
        <f aca="false">IF(COUNTIF(Final_CB_R8_V5!$C$8:$C$2345,C356)&gt;=1,"YES","NO")</f>
        <v>YES</v>
      </c>
      <c r="G356" s="4" t="str">
        <f aca="false">IFERROR(__xludf.dummyfunction("""COMPUTED_VALUE"""),"suggestion::refactoring::(removing::unnecessary::constructor)")</f>
        <v>suggestion::refactoring::(removing::unnecessary::constructor)</v>
      </c>
      <c r="H356" s="4" t="str">
        <f aca="false">IFERROR(__xludf.dummyfunction("""COMPUTED_VALUE"""),"requesting::somebodyelse::for::approval::for::submitting")</f>
        <v>requesting::somebodyelse::for::approval::for::submitting</v>
      </c>
    </row>
    <row r="357" customFormat="false" ht="15.75" hidden="false" customHeight="false" outlineLevel="0" collapsed="false">
      <c r="A357" s="3" t="s">
        <v>2060</v>
      </c>
      <c r="B357" s="3" t="str">
        <f aca="false">IF(COUNTIF(Final_CB_R8_V5!$B$8:$B$20345,A357)&gt;=1,"YES","NO")</f>
        <v>YES</v>
      </c>
      <c r="C357" s="3" t="s">
        <v>2061</v>
      </c>
      <c r="D357" s="3" t="str">
        <f aca="false">IF(COUNTIF(Final_CB_R8_V5!$C$8:$C$2345,C357)&gt;=1,"YES","NO")</f>
        <v>YES</v>
      </c>
      <c r="G357" s="4" t="str">
        <f aca="false">IFERROR(__xludf.dummyfunction("""COMPUTED_VALUE"""),"suggestion::refactoring::(removing::unnecessary::variable)")</f>
        <v>suggestion::refactoring::(removing::unnecessary::variable)</v>
      </c>
      <c r="H357" s="4" t="str">
        <f aca="false">IFERROR(__xludf.dummyfunction("""COMPUTED_VALUE"""),"requesting::somebodyelse::for::approval::for::submitting10")</f>
        <v>requesting::somebodyelse::for::approval::for::submitting10</v>
      </c>
    </row>
    <row r="358" customFormat="false" ht="15.75" hidden="false" customHeight="false" outlineLevel="0" collapsed="false">
      <c r="A358" s="3" t="s">
        <v>2062</v>
      </c>
      <c r="B358" s="3" t="str">
        <f aca="false">IF(COUNTIF(Final_CB_R8_V5!$B$8:$B$20345,A358)&gt;=1,"YES","NO")</f>
        <v>YES</v>
      </c>
      <c r="C358" s="3" t="s">
        <v>2063</v>
      </c>
      <c r="D358" s="3" t="str">
        <f aca="false">IF(COUNTIF(Final_CB_R8_V5!$C$8:$C$2345,C358)&gt;=1,"YES","NO")</f>
        <v>YES</v>
      </c>
      <c r="G358" s="4" t="str">
        <f aca="false">IFERROR(__xludf.dummyfunction("""COMPUTED_VALUE"""),"suggestion::refactoring::(renaming)")</f>
        <v>suggestion::refactoring::(renaming)</v>
      </c>
      <c r="H358" s="4" t="str">
        <f aca="false">IFERROR(__xludf.dummyfunction("""COMPUTED_VALUE"""),"requesting::somebodyelse::for::approval::for::submitting11")</f>
        <v>requesting::somebodyelse::for::approval::for::submitting11</v>
      </c>
    </row>
    <row r="359" customFormat="false" ht="15.75" hidden="false" customHeight="false" outlineLevel="0" collapsed="false">
      <c r="A359" s="3" t="s">
        <v>2064</v>
      </c>
      <c r="B359" s="3" t="str">
        <f aca="false">IF(COUNTIF(Final_CB_R8_V5!$B$8:$B$20345,A359)&gt;=1,"YES","NO")</f>
        <v>YES</v>
      </c>
      <c r="C359" s="3" t="s">
        <v>2065</v>
      </c>
      <c r="D359" s="3" t="str">
        <f aca="false">IF(COUNTIF(Final_CB_R8_V5!$C$8:$C$2345,C359)&gt;=1,"YES","NO")</f>
        <v>YES</v>
      </c>
      <c r="G359" s="4" t="str">
        <f aca="false">IFERROR(__xludf.dummyfunction("""COMPUTED_VALUE"""),"suggestion::refactoring::(renaming::function/method)")</f>
        <v>suggestion::refactoring::(renaming::function/method)</v>
      </c>
      <c r="H359" s="4" t="str">
        <f aca="false">IFERROR(__xludf.dummyfunction("""COMPUTED_VALUE"""),"requesting::somebodyelse::for::approval::for::submitting12")</f>
        <v>requesting::somebodyelse::for::approval::for::submitting12</v>
      </c>
    </row>
    <row r="360" customFormat="false" ht="15.75" hidden="false" customHeight="false" outlineLevel="0" collapsed="false">
      <c r="A360" s="3" t="s">
        <v>2066</v>
      </c>
      <c r="B360" s="3" t="str">
        <f aca="false">IF(COUNTIF(Final_CB_R8_V5!$B$8:$B$20345,A360)&gt;=1,"YES","NO")</f>
        <v>YES</v>
      </c>
      <c r="C360" s="3" t="s">
        <v>2067</v>
      </c>
      <c r="D360" s="3" t="str">
        <f aca="false">IF(COUNTIF(Final_CB_R8_V5!$C$8:$C$2345,C360)&gt;=1,"YES","NO")</f>
        <v>YES</v>
      </c>
      <c r="G360" s="4" t="str">
        <f aca="false">IFERROR(__xludf.dummyfunction("""COMPUTED_VALUE"""),"suggestion::refactoring::(reverting::unnecessary::changes)")</f>
        <v>suggestion::refactoring::(reverting::unnecessary::changes)</v>
      </c>
      <c r="H360" s="4" t="str">
        <f aca="false">IFERROR(__xludf.dummyfunction("""COMPUTED_VALUE"""),"requesting::somebodyelse::for::approval::for::submitting13")</f>
        <v>requesting::somebodyelse::for::approval::for::submitting13</v>
      </c>
    </row>
    <row r="361" customFormat="false" ht="15.75" hidden="false" customHeight="false" outlineLevel="0" collapsed="false">
      <c r="A361" s="3" t="s">
        <v>2068</v>
      </c>
      <c r="B361" s="3" t="str">
        <f aca="false">IF(COUNTIF(Final_CB_R8_V5!$B$8:$B$20345,A361)&gt;=1,"YES","NO")</f>
        <v>YES</v>
      </c>
      <c r="C361" s="3" t="s">
        <v>2069</v>
      </c>
      <c r="D361" s="3" t="str">
        <f aca="false">IF(COUNTIF(Final_CB_R8_V5!$C$8:$C$2345,C361)&gt;=1,"YES","NO")</f>
        <v>YES</v>
      </c>
      <c r="G361" s="4" t="str">
        <f aca="false">IFERROR(__xludf.dummyfunction("""COMPUTED_VALUE"""),"suggestion::refactoring::(simpler::code)")</f>
        <v>suggestion::refactoring::(simpler::code)</v>
      </c>
      <c r="H361" s="4" t="str">
        <f aca="false">IFERROR(__xludf.dummyfunction("""COMPUTED_VALUE"""),"requesting::somebodyelse::for::approval::for::submitting14")</f>
        <v>requesting::somebodyelse::for::approval::for::submitting14</v>
      </c>
    </row>
    <row r="362" customFormat="false" ht="15.75" hidden="false" customHeight="false" outlineLevel="0" collapsed="false">
      <c r="A362" s="3" t="s">
        <v>2070</v>
      </c>
      <c r="B362" s="3" t="str">
        <f aca="false">IF(COUNTIF(Final_CB_R8_V5!$B$8:$B$20345,A362)&gt;=1,"YES","NO")</f>
        <v>YES</v>
      </c>
      <c r="C362" s="3" t="s">
        <v>2071</v>
      </c>
      <c r="D362" s="3" t="str">
        <f aca="false">IF(COUNTIF(Final_CB_R8_V5!$C$8:$C$2345,C362)&gt;=1,"YES","NO")</f>
        <v>YES</v>
      </c>
      <c r="G362" s="4" t="str">
        <f aca="false">IFERROR(__xludf.dummyfunction("""COMPUTED_VALUE"""),"suggestion::refactoring::(split::method)")</f>
        <v>suggestion::refactoring::(split::method)</v>
      </c>
      <c r="H362" s="4" t="str">
        <f aca="false">IFERROR(__xludf.dummyfunction("""COMPUTED_VALUE"""),"requesting::somebodyelse::for::approval::for::submitting15")</f>
        <v>requesting::somebodyelse::for::approval::for::submitting15</v>
      </c>
    </row>
    <row r="363" customFormat="false" ht="15.75" hidden="false" customHeight="false" outlineLevel="0" collapsed="false">
      <c r="A363" s="3" t="s">
        <v>2072</v>
      </c>
      <c r="B363" s="3" t="str">
        <f aca="false">IF(COUNTIF(Final_CB_R8_V5!$B$8:$B$20345,A363)&gt;=1,"YES","NO")</f>
        <v>YES</v>
      </c>
      <c r="C363" s="3" t="s">
        <v>2073</v>
      </c>
      <c r="D363" s="3" t="str">
        <f aca="false">IF(COUNTIF(Final_CB_R8_V5!$C$8:$C$2345,C363)&gt;=1,"YES","NO")</f>
        <v>YES</v>
      </c>
      <c r="G363" s="4" t="str">
        <f aca="false">IFERROR(__xludf.dummyfunction("""COMPUTED_VALUE"""),"suggestion::refactoring::(steps::to::accomplish::it)")</f>
        <v>suggestion::refactoring::(steps::to::accomplish::it)</v>
      </c>
      <c r="H363" s="4" t="str">
        <f aca="false">IFERROR(__xludf.dummyfunction("""COMPUTED_VALUE"""),"requesting::somebodyelse::for::approval::for::submitting16")</f>
        <v>requesting::somebodyelse::for::approval::for::submitting16</v>
      </c>
    </row>
    <row r="364" customFormat="false" ht="15.75" hidden="false" customHeight="false" outlineLevel="0" collapsed="false">
      <c r="A364" s="3" t="s">
        <v>2074</v>
      </c>
      <c r="B364" s="3" t="str">
        <f aca="false">IF(COUNTIF(Final_CB_R8_V5!$B$8:$B$20345,A364)&gt;=1,"YES","NO")</f>
        <v>YES</v>
      </c>
      <c r="C364" s="3" t="s">
        <v>2075</v>
      </c>
      <c r="D364" s="3" t="str">
        <f aca="false">IF(COUNTIF(Final_CB_R8_V5!$C$8:$C$2345,C364)&gt;=1,"YES","NO")</f>
        <v>YES</v>
      </c>
      <c r="G364" s="4" t="str">
        <f aca="false">IFERROR(__xludf.dummyfunction("""COMPUTED_VALUE"""),"suggestion::refactoring::(steps::to::accomplish::it)::with::code")</f>
        <v>suggestion::refactoring::(steps::to::accomplish::it)::with::code</v>
      </c>
      <c r="H364" s="4" t="str">
        <f aca="false">IFERROR(__xludf.dummyfunction("""COMPUTED_VALUE"""),"requesting::somebodyelse::for::approval::for::submitting17")</f>
        <v>requesting::somebodyelse::for::approval::for::submitting17</v>
      </c>
    </row>
    <row r="365" customFormat="false" ht="15.75" hidden="false" customHeight="false" outlineLevel="0" collapsed="false">
      <c r="A365" s="3" t="s">
        <v>2076</v>
      </c>
      <c r="B365" s="3" t="str">
        <f aca="false">IF(COUNTIF(Final_CB_R8_V5!$B$8:$B$20345,A365)&gt;=1,"YES","NO")</f>
        <v>YES</v>
      </c>
      <c r="C365" s="3" t="s">
        <v>2077</v>
      </c>
      <c r="D365" s="3" t="str">
        <f aca="false">IF(COUNTIF(Final_CB_R8_V5!$C$8:$C$2345,C365)&gt;=1,"YES","NO")</f>
        <v>YES</v>
      </c>
      <c r="G365" s="4" t="str">
        <f aca="false">IFERROR(__xludf.dummyfunction("""COMPUTED_VALUE"""),"suggestion::refactoring::(style)")</f>
        <v>suggestion::refactoring::(style)</v>
      </c>
      <c r="H365" s="4" t="str">
        <f aca="false">IFERROR(__xludf.dummyfunction("""COMPUTED_VALUE"""),"requesting::somebodyelse::for::approval::for::submitting18")</f>
        <v>requesting::somebodyelse::for::approval::for::submitting18</v>
      </c>
    </row>
    <row r="366" customFormat="false" ht="15.75" hidden="false" customHeight="false" outlineLevel="0" collapsed="false">
      <c r="A366" s="3" t="s">
        <v>1975</v>
      </c>
      <c r="B366" s="3" t="str">
        <f aca="false">IF(COUNTIF(Final_CB_R8_V5!$B$8:$B$20345,A366)&gt;=1,"YES","NO")</f>
        <v>YES</v>
      </c>
      <c r="C366" s="3" t="s">
        <v>2078</v>
      </c>
      <c r="D366" s="3" t="str">
        <f aca="false">IF(COUNTIF(Final_CB_R8_V5!$C$8:$C$2345,C366)&gt;=1,"YES","NO")</f>
        <v>YES</v>
      </c>
      <c r="G366" s="4" t="str">
        <f aca="false">IFERROR(__xludf.dummyfunction("""COMPUTED_VALUE"""),"suggestion::refactoring::(style)::with::code")</f>
        <v>suggestion::refactoring::(style)::with::code</v>
      </c>
      <c r="H366" s="4" t="str">
        <f aca="false">IFERROR(__xludf.dummyfunction("""COMPUTED_VALUE"""),"requesting::somebodyelse::for::approval::for::submitting19")</f>
        <v>requesting::somebodyelse::for::approval::for::submitting19</v>
      </c>
    </row>
    <row r="367" customFormat="false" ht="15.75" hidden="false" customHeight="false" outlineLevel="0" collapsed="false">
      <c r="A367" s="3" t="s">
        <v>1976</v>
      </c>
      <c r="B367" s="3" t="str">
        <f aca="false">IF(COUNTIF(Final_CB_R8_V5!$B$8:$B$20345,A367)&gt;=1,"YES","NO")</f>
        <v>YES</v>
      </c>
      <c r="C367" s="3" t="s">
        <v>2079</v>
      </c>
      <c r="D367" s="3" t="str">
        <f aca="false">IF(COUNTIF(Final_CB_R8_V5!$C$8:$C$2345,C367)&gt;=1,"YES","NO")</f>
        <v>YES</v>
      </c>
      <c r="G367" s="4" t="str">
        <f aca="false">IFERROR(__xludf.dummyfunction("""COMPUTED_VALUE"""),"suggestion::refactoring::(style::add::newline)")</f>
        <v>suggestion::refactoring::(style::add::newline)</v>
      </c>
      <c r="H367" s="4" t="str">
        <f aca="false">IFERROR(__xludf.dummyfunction("""COMPUTED_VALUE"""),"requesting::somebodyelse::for::approval::for::submitting2")</f>
        <v>requesting::somebodyelse::for::approval::for::submitting2</v>
      </c>
    </row>
    <row r="368" customFormat="false" ht="15.75" hidden="false" customHeight="false" outlineLevel="0" collapsed="false">
      <c r="A368" s="3" t="s">
        <v>1979</v>
      </c>
      <c r="B368" s="3" t="str">
        <f aca="false">IF(COUNTIF(Final_CB_R8_V5!$B$8:$B$20345,A368)&gt;=1,"YES","NO")</f>
        <v>YES</v>
      </c>
      <c r="C368" s="3" t="s">
        <v>2080</v>
      </c>
      <c r="D368" s="3" t="str">
        <f aca="false">IF(COUNTIF(Final_CB_R8_V5!$C$8:$C$2345,C368)&gt;=1,"YES","NO")</f>
        <v>YES</v>
      </c>
      <c r="G368" s="4" t="str">
        <f aca="false">IFERROR(__xludf.dummyfunction("""COMPUTED_VALUE"""),"suggestion::refactoring::(style::comments/documentation)")</f>
        <v>suggestion::refactoring::(style::comments/documentation)</v>
      </c>
      <c r="H368" s="4" t="str">
        <f aca="false">IFERROR(__xludf.dummyfunction("""COMPUTED_VALUE"""),"requesting::somebodyelse::for::approval::for::submitting20")</f>
        <v>requesting::somebodyelse::for::approval::for::submitting20</v>
      </c>
    </row>
    <row r="369" customFormat="false" ht="15.75" hidden="false" customHeight="false" outlineLevel="0" collapsed="false">
      <c r="A369" s="3" t="s">
        <v>2081</v>
      </c>
      <c r="B369" s="3" t="str">
        <f aca="false">IF(COUNTIF(Final_CB_R8_V5!$B$8:$B$20345,A369)&gt;=1,"YES","NO")</f>
        <v>YES</v>
      </c>
      <c r="C369" s="3" t="s">
        <v>2082</v>
      </c>
      <c r="D369" s="3" t="str">
        <f aca="false">IF(COUNTIF(Final_CB_R8_V5!$C$8:$C$2345,C369)&gt;=1,"YES","NO")</f>
        <v>YES</v>
      </c>
      <c r="G369" s="4" t="str">
        <f aca="false">IFERROR(__xludf.dummyfunction("""COMPUTED_VALUE"""),"suggestion::refactoring::(style::imports)")</f>
        <v>suggestion::refactoring::(style::imports)</v>
      </c>
      <c r="H369" s="4" t="str">
        <f aca="false">IFERROR(__xludf.dummyfunction("""COMPUTED_VALUE"""),"requesting::somebodyelse::for::approval::for::submitting21")</f>
        <v>requesting::somebodyelse::for::approval::for::submitting21</v>
      </c>
    </row>
    <row r="370" customFormat="false" ht="15.75" hidden="false" customHeight="false" outlineLevel="0" collapsed="false">
      <c r="A370" s="3" t="s">
        <v>1981</v>
      </c>
      <c r="B370" s="3" t="str">
        <f aca="false">IF(COUNTIF(Final_CB_R8_V5!$B$8:$B$20345,A370)&gt;=1,"YES","NO")</f>
        <v>YES</v>
      </c>
      <c r="C370" s="3" t="s">
        <v>2083</v>
      </c>
      <c r="D370" s="3" t="str">
        <f aca="false">IF(COUNTIF(Final_CB_R8_V5!$C$8:$C$2345,C370)&gt;=1,"YES","NO")</f>
        <v>YES</v>
      </c>
      <c r="G370" s="4" t="str">
        <f aca="false">IFERROR(__xludf.dummyfunction("""COMPUTED_VALUE"""),"suggestion::refactoring::(style::indentation)")</f>
        <v>suggestion::refactoring::(style::indentation)</v>
      </c>
      <c r="H370" s="4" t="str">
        <f aca="false">IFERROR(__xludf.dummyfunction("""COMPUTED_VALUE"""),"requesting::somebodyelse::for::approval::for::submitting22")</f>
        <v>requesting::somebodyelse::for::approval::for::submitting22</v>
      </c>
    </row>
    <row r="371" customFormat="false" ht="15.75" hidden="false" customHeight="false" outlineLevel="0" collapsed="false">
      <c r="A371" s="3" t="s">
        <v>2084</v>
      </c>
      <c r="B371" s="3" t="str">
        <f aca="false">IF(COUNTIF(Final_CB_R8_V5!$B$8:$B$20345,A371)&gt;=1,"YES","NO")</f>
        <v>YES</v>
      </c>
      <c r="C371" s="3" t="s">
        <v>2085</v>
      </c>
      <c r="D371" s="3" t="str">
        <f aca="false">IF(COUNTIF(Final_CB_R8_V5!$C$8:$C$2345,C371)&gt;=1,"YES","NO")</f>
        <v>YES</v>
      </c>
      <c r="G371" s="4" t="str">
        <f aca="false">IFERROR(__xludf.dummyfunction("""COMPUTED_VALUE"""),"suggestion::refactoring::(style::missing::whitespace)")</f>
        <v>suggestion::refactoring::(style::missing::whitespace)</v>
      </c>
      <c r="H371" s="4" t="str">
        <f aca="false">IFERROR(__xludf.dummyfunction("""COMPUTED_VALUE"""),"requesting::somebodyelse::for::approval::for::submitting23")</f>
        <v>requesting::somebodyelse::for::approval::for::submitting23</v>
      </c>
    </row>
    <row r="372" customFormat="false" ht="15.75" hidden="false" customHeight="false" outlineLevel="0" collapsed="false">
      <c r="A372" s="3" t="s">
        <v>1982</v>
      </c>
      <c r="B372" s="3" t="str">
        <f aca="false">IF(COUNTIF(Final_CB_R8_V5!$B$8:$B$20345,A372)&gt;=1,"YES","NO")</f>
        <v>YES</v>
      </c>
      <c r="C372" s="3" t="s">
        <v>2086</v>
      </c>
      <c r="D372" s="3" t="str">
        <f aca="false">IF(COUNTIF(Final_CB_R8_V5!$C$8:$C$2345,C372)&gt;=1,"YES","NO")</f>
        <v>YES</v>
      </c>
      <c r="G372" s="4" t="str">
        <f aca="false">IFERROR(__xludf.dummyfunction("""COMPUTED_VALUE"""),"suggestion::refactoring::(style::removing::newline)")</f>
        <v>suggestion::refactoring::(style::removing::newline)</v>
      </c>
      <c r="H372" s="4" t="str">
        <f aca="false">IFERROR(__xludf.dummyfunction("""COMPUTED_VALUE"""),"requesting::somebodyelse::for::approval::for::submitting24")</f>
        <v>requesting::somebodyelse::for::approval::for::submitting24</v>
      </c>
    </row>
    <row r="373" customFormat="false" ht="15.75" hidden="false" customHeight="false" outlineLevel="0" collapsed="false">
      <c r="A373" s="3" t="s">
        <v>2087</v>
      </c>
      <c r="B373" s="3" t="str">
        <f aca="false">IF(COUNTIF(Final_CB_R8_V5!$B$8:$B$20345,A373)&gt;=1,"YES","NO")</f>
        <v>YES</v>
      </c>
      <c r="C373" s="3" t="s">
        <v>2088</v>
      </c>
      <c r="D373" s="3" t="str">
        <f aca="false">IF(COUNTIF(Final_CB_R8_V5!$C$8:$C$2345,C373)&gt;=1,"YES","NO")</f>
        <v>YES</v>
      </c>
      <c r="G373" s="4" t="str">
        <f aca="false">IFERROR(__xludf.dummyfunction("""COMPUTED_VALUE"""),"suggestion::refactoring::(style::unnecessary::whitespace)")</f>
        <v>suggestion::refactoring::(style::unnecessary::whitespace)</v>
      </c>
      <c r="H373" s="4" t="str">
        <f aca="false">IFERROR(__xludf.dummyfunction("""COMPUTED_VALUE"""),"requesting::somebodyelse::for::approval::for::submitting25")</f>
        <v>requesting::somebodyelse::for::approval::for::submitting25</v>
      </c>
    </row>
    <row r="374" customFormat="false" ht="15.75" hidden="false" customHeight="false" outlineLevel="0" collapsed="false">
      <c r="A374" s="3" t="s">
        <v>1983</v>
      </c>
      <c r="B374" s="3" t="str">
        <f aca="false">IF(COUNTIF(Final_CB_R8_V5!$B$8:$B$20345,A374)&gt;=1,"YES","NO")</f>
        <v>YES</v>
      </c>
      <c r="C374" s="3" t="s">
        <v>2089</v>
      </c>
      <c r="D374" s="3" t="str">
        <f aca="false">IF(COUNTIF(Final_CB_R8_V5!$C$8:$C$2345,C374)&gt;=1,"YES","NO")</f>
        <v>YES</v>
      </c>
      <c r="G374" s="4" t="str">
        <f aca="false">IFERROR(__xludf.dummyfunction("""COMPUTED_VALUE"""),"suggestion::refactoring::(test)")</f>
        <v>suggestion::refactoring::(test)</v>
      </c>
      <c r="H374" s="4" t="str">
        <f aca="false">IFERROR(__xludf.dummyfunction("""COMPUTED_VALUE"""),"requesting::somebodyelse::for::approval::for::submitting26")</f>
        <v>requesting::somebodyelse::for::approval::for::submitting26</v>
      </c>
    </row>
    <row r="375" customFormat="false" ht="15.75" hidden="false" customHeight="false" outlineLevel="0" collapsed="false">
      <c r="A375" s="3" t="s">
        <v>2090</v>
      </c>
      <c r="B375" s="3" t="str">
        <f aca="false">IF(COUNTIF(Final_CB_R8_V5!$B$8:$B$20345,A375)&gt;=1,"YES","NO")</f>
        <v>YES</v>
      </c>
      <c r="C375" s="3" t="s">
        <v>2091</v>
      </c>
      <c r="D375" s="3" t="str">
        <f aca="false">IF(COUNTIF(Final_CB_R8_V5!$C$8:$C$2345,C375)&gt;=1,"YES","NO")</f>
        <v>YES</v>
      </c>
      <c r="G375" s="4" t="str">
        <f aca="false">IFERROR(__xludf.dummyfunction("""COMPUTED_VALUE"""),"suggestion::refactoring::(test::naming)")</f>
        <v>suggestion::refactoring::(test::naming)</v>
      </c>
      <c r="H375" s="4" t="str">
        <f aca="false">IFERROR(__xludf.dummyfunction("""COMPUTED_VALUE"""),"requesting::somebodyelse::for::approval::for::submitting27")</f>
        <v>requesting::somebodyelse::for::approval::for::submitting27</v>
      </c>
    </row>
    <row r="376" customFormat="false" ht="15.75" hidden="false" customHeight="false" outlineLevel="0" collapsed="false">
      <c r="A376" s="3" t="s">
        <v>2092</v>
      </c>
      <c r="B376" s="3" t="str">
        <f aca="false">IF(COUNTIF(Final_CB_R8_V5!$B$8:$B$20345,A376)&gt;=1,"YES","NO")</f>
        <v>YES</v>
      </c>
      <c r="C376" s="3" t="s">
        <v>2093</v>
      </c>
      <c r="D376" s="3" t="str">
        <f aca="false">IF(COUNTIF(Final_CB_R8_V5!$C$8:$C$2345,C376)&gt;=1,"YES","NO")</f>
        <v>YES</v>
      </c>
      <c r="G376" s="4" t="str">
        <f aca="false">IFERROR(__xludf.dummyfunction("""COMPUTED_VALUE"""),"suggestion::refactoring::(typo)")</f>
        <v>suggestion::refactoring::(typo)</v>
      </c>
      <c r="H376" s="4" t="str">
        <f aca="false">IFERROR(__xludf.dummyfunction("""COMPUTED_VALUE"""),"requesting::somebodyelse::for::approval::for::submitting28")</f>
        <v>requesting::somebodyelse::for::approval::for::submitting28</v>
      </c>
    </row>
    <row r="377" customFormat="false" ht="15.75" hidden="false" customHeight="false" outlineLevel="0" collapsed="false">
      <c r="A377" s="3" t="s">
        <v>1989</v>
      </c>
      <c r="B377" s="3" t="str">
        <f aca="false">IF(COUNTIF(Final_CB_R8_V5!$B$8:$B$20345,A377)&gt;=1,"YES","NO")</f>
        <v>YES</v>
      </c>
      <c r="C377" s="3" t="s">
        <v>2094</v>
      </c>
      <c r="D377" s="3" t="str">
        <f aca="false">IF(COUNTIF(Final_CB_R8_V5!$C$8:$C$2345,C377)&gt;=1,"YES","NO")</f>
        <v>YES</v>
      </c>
      <c r="G377" s="4" t="str">
        <f aca="false">IFERROR(__xludf.dummyfunction("""COMPUTED_VALUE"""),"suggestion::refactoring::(unnecesary::code)")</f>
        <v>suggestion::refactoring::(unnecesary::code)</v>
      </c>
      <c r="H377" s="4" t="str">
        <f aca="false">IFERROR(__xludf.dummyfunction("""COMPUTED_VALUE"""),"requesting::somebodyelse::for::approval::for::submitting29")</f>
        <v>requesting::somebodyelse::for::approval::for::submitting29</v>
      </c>
    </row>
    <row r="378" customFormat="false" ht="15.75" hidden="false" customHeight="false" outlineLevel="0" collapsed="false">
      <c r="A378" s="3" t="s">
        <v>2095</v>
      </c>
      <c r="B378" s="3" t="str">
        <f aca="false">IF(COUNTIF(Final_CB_R8_V5!$B$8:$B$20345,A378)&gt;=1,"YES","NO")</f>
        <v>YES</v>
      </c>
      <c r="C378" s="3" t="s">
        <v>2096</v>
      </c>
      <c r="D378" s="3" t="str">
        <f aca="false">IF(COUNTIF(Final_CB_R8_V5!$C$8:$C$2345,C378)&gt;=1,"YES","NO")</f>
        <v>YES</v>
      </c>
      <c r="G378" s="4" t="str">
        <f aca="false">IFERROR(__xludf.dummyfunction("""COMPUTED_VALUE"""),"suggestion::refactoring::(unnecesary::loop)")</f>
        <v>suggestion::refactoring::(unnecesary::loop)</v>
      </c>
      <c r="H378" s="4" t="str">
        <f aca="false">IFERROR(__xludf.dummyfunction("""COMPUTED_VALUE"""),"requesting::somebodyelse::for::approval::for::submitting3")</f>
        <v>requesting::somebodyelse::for::approval::for::submitting3</v>
      </c>
    </row>
    <row r="379" customFormat="false" ht="15.75" hidden="false" customHeight="false" outlineLevel="0" collapsed="false">
      <c r="A379" s="3" t="s">
        <v>2097</v>
      </c>
      <c r="B379" s="3" t="str">
        <f aca="false">IF(COUNTIF(Final_CB_R8_V5!$B$8:$B$20345,A379)&gt;=1,"YES","NO")</f>
        <v>YES</v>
      </c>
      <c r="C379" s="3" t="s">
        <v>2098</v>
      </c>
      <c r="D379" s="3" t="str">
        <f aca="false">IF(COUNTIF(Final_CB_R8_V5!$C$8:$C$2345,C379)&gt;=1,"YES","NO")</f>
        <v>YES</v>
      </c>
      <c r="G379" s="4" t="str">
        <f aca="false">IFERROR(__xludf.dummyfunction("""COMPUTED_VALUE"""),"suggestion::refactoring::(use::decorator)")</f>
        <v>suggestion::refactoring::(use::decorator)</v>
      </c>
      <c r="H379" s="4" t="str">
        <f aca="false">IFERROR(__xludf.dummyfunction("""COMPUTED_VALUE"""),"requesting::somebodyelse::for::approval::for::submitting30")</f>
        <v>requesting::somebodyelse::for::approval::for::submitting30</v>
      </c>
    </row>
    <row r="380" customFormat="false" ht="15.75" hidden="false" customHeight="false" outlineLevel="0" collapsed="false">
      <c r="A380" s="3" t="s">
        <v>1995</v>
      </c>
      <c r="B380" s="3" t="str">
        <f aca="false">IF(COUNTIF(Final_CB_R8_V5!$B$8:$B$20345,A380)&gt;=1,"YES","NO")</f>
        <v>YES</v>
      </c>
      <c r="C380" s="3" t="s">
        <v>2099</v>
      </c>
      <c r="D380" s="3" t="str">
        <f aca="false">IF(COUNTIF(Final_CB_R8_V5!$C$8:$C$2345,C380)&gt;=1,"YES","NO")</f>
        <v>YES</v>
      </c>
      <c r="G380" s="4" t="str">
        <f aca="false">IFERROR(__xludf.dummyfunction("""COMPUTED_VALUE"""),"suggestion::refactoring::(use::decorators)")</f>
        <v>suggestion::refactoring::(use::decorators)</v>
      </c>
      <c r="H380" s="4" t="str">
        <f aca="false">IFERROR(__xludf.dummyfunction("""COMPUTED_VALUE"""),"requesting::somebodyelse::for::approval::for::submitting31")</f>
        <v>requesting::somebodyelse::for::approval::for::submitting31</v>
      </c>
    </row>
    <row r="381" customFormat="false" ht="15.75" hidden="false" customHeight="false" outlineLevel="0" collapsed="false">
      <c r="A381" s="3" t="s">
        <v>2100</v>
      </c>
      <c r="B381" s="3" t="str">
        <f aca="false">IF(COUNTIF(Final_CB_R8_V5!$B$8:$B$20345,A381)&gt;=1,"YES","NO")</f>
        <v>YES</v>
      </c>
      <c r="C381" s="3" t="s">
        <v>2101</v>
      </c>
      <c r="D381" s="3" t="str">
        <f aca="false">IF(COUNTIF(Final_CB_R8_V5!$C$8:$C$2345,C381)&gt;=1,"YES","NO")</f>
        <v>YES</v>
      </c>
      <c r="G381" s="4" t="str">
        <f aca="false">IFERROR(__xludf.dummyfunction("""COMPUTED_VALUE"""),"suggestion::refactoring::(use::existing::variable)")</f>
        <v>suggestion::refactoring::(use::existing::variable)</v>
      </c>
      <c r="H381" s="4" t="str">
        <f aca="false">IFERROR(__xludf.dummyfunction("""COMPUTED_VALUE"""),"requesting::somebodyelse::for::approval::for::submitting32")</f>
        <v>requesting::somebodyelse::for::approval::for::submitting32</v>
      </c>
    </row>
    <row r="382" customFormat="false" ht="15.75" hidden="false" customHeight="false" outlineLevel="0" collapsed="false">
      <c r="A382" s="11" t="s">
        <v>2102</v>
      </c>
      <c r="B382" s="3" t="str">
        <f aca="false">IF(COUNTIF(Final_CB_R8_V5!$B$8:$B$20345,A382)&gt;=1,"YES","NO")</f>
        <v>YES</v>
      </c>
      <c r="C382" s="3" t="s">
        <v>2103</v>
      </c>
      <c r="D382" s="3" t="str">
        <f aca="false">IF(COUNTIF(Final_CB_R8_V5!$C$8:$C$2345,C382)&gt;=1,"YES","NO")</f>
        <v>YES</v>
      </c>
      <c r="G382" s="4" t="str">
        <f aca="false">IFERROR(__xludf.dummyfunction("""COMPUTED_VALUE"""),"suggestion::refactoring::(use::method/function)")</f>
        <v>suggestion::refactoring::(use::method/function)</v>
      </c>
      <c r="H382" s="4" t="str">
        <f aca="false">IFERROR(__xludf.dummyfunction("""COMPUTED_VALUE"""),"requesting::somebodyelse::for::approval::for::submitting33")</f>
        <v>requesting::somebodyelse::for::approval::for::submitting33</v>
      </c>
    </row>
    <row r="383" customFormat="false" ht="15.75" hidden="false" customHeight="false" outlineLevel="0" collapsed="false">
      <c r="A383" s="3" t="s">
        <v>2104</v>
      </c>
      <c r="B383" s="3" t="str">
        <f aca="false">IF(COUNTIF(Final_CB_R8_V5!$B$8:$B$20345,A383)&gt;=1,"YES","NO")</f>
        <v>YES</v>
      </c>
      <c r="C383" s="3" t="s">
        <v>2105</v>
      </c>
      <c r="D383" s="3" t="str">
        <f aca="false">IF(COUNTIF(Final_CB_R8_V5!$C$8:$C$2345,C383)&gt;=1,"YES","NO")</f>
        <v>YES</v>
      </c>
      <c r="G383" s="4" t="str">
        <f aca="false">IFERROR(__xludf.dummyfunction("""COMPUTED_VALUE"""),"suggestion::refactoring::(use::mock::object)")</f>
        <v>suggestion::refactoring::(use::mock::object)</v>
      </c>
      <c r="H383" s="4" t="str">
        <f aca="false">IFERROR(__xludf.dummyfunction("""COMPUTED_VALUE"""),"requesting::somebodyelse::for::approval::for::submitting34")</f>
        <v>requesting::somebodyelse::for::approval::for::submitting34</v>
      </c>
    </row>
    <row r="384" customFormat="false" ht="15.75" hidden="false" customHeight="false" outlineLevel="0" collapsed="false">
      <c r="A384" s="3" t="s">
        <v>1998</v>
      </c>
      <c r="B384" s="3" t="str">
        <f aca="false">IF(COUNTIF(Final_CB_R8_V5!$B$8:$B$20345,A384)&gt;=1,"YES","NO")</f>
        <v>YES</v>
      </c>
      <c r="C384" s="3" t="s">
        <v>2106</v>
      </c>
      <c r="D384" s="3" t="str">
        <f aca="false">IF(COUNTIF(Final_CB_R8_V5!$C$8:$C$2345,C384)&gt;=1,"YES","NO")</f>
        <v>YES</v>
      </c>
      <c r="G384" s="4" t="str">
        <f aca="false">IFERROR(__xludf.dummyfunction("""COMPUTED_VALUE"""),"suggestion::refactoring::code::(different::approach::change::config::file)")</f>
        <v>suggestion::refactoring::code::(different::approach::change::config::file)</v>
      </c>
      <c r="H384" s="4" t="str">
        <f aca="false">IFERROR(__xludf.dummyfunction("""COMPUTED_VALUE"""),"requesting::somebodyelse::for::approval::for::submitting35")</f>
        <v>requesting::somebodyelse::for::approval::for::submitting35</v>
      </c>
    </row>
    <row r="385" customFormat="false" ht="15.75" hidden="false" customHeight="false" outlineLevel="0" collapsed="false">
      <c r="A385" s="3" t="s">
        <v>2107</v>
      </c>
      <c r="B385" s="3" t="str">
        <f aca="false">IF(COUNTIF(Final_CB_R8_V5!$B$8:$B$20345,A385)&gt;=1,"YES","NO")</f>
        <v>YES</v>
      </c>
      <c r="C385" s="3" t="s">
        <v>2108</v>
      </c>
      <c r="D385" s="3" t="str">
        <f aca="false">IF(COUNTIF(Final_CB_R8_V5!$C$8:$C$2345,C385)&gt;=1,"YES","NO")</f>
        <v>YES</v>
      </c>
      <c r="G385" s="4" t="str">
        <f aca="false">IFERROR(__xludf.dummyfunction("""COMPUTED_VALUE"""),"suggestion::style::change::(commit::message)")</f>
        <v>suggestion::style::change::(commit::message)</v>
      </c>
      <c r="H385" s="4" t="str">
        <f aca="false">IFERROR(__xludf.dummyfunction("""COMPUTED_VALUE"""),"requesting::somebodyelse::for::approval::for::submitting4")</f>
        <v>requesting::somebodyelse::for::approval::for::submitting4</v>
      </c>
    </row>
    <row r="386" customFormat="false" ht="15.75" hidden="false" customHeight="false" outlineLevel="0" collapsed="false">
      <c r="A386" s="3" t="s">
        <v>1999</v>
      </c>
      <c r="B386" s="3" t="str">
        <f aca="false">IF(COUNTIF(Final_CB_R8_V5!$B$8:$B$20345,A386)&gt;=1,"YES","NO")</f>
        <v>YES</v>
      </c>
      <c r="C386" s="3" t="s">
        <v>2109</v>
      </c>
      <c r="D386" s="3" t="str">
        <f aca="false">IF(COUNTIF(Final_CB_R8_V5!$C$8:$C$2345,C386)&gt;=1,"YES","NO")</f>
        <v>YES</v>
      </c>
      <c r="G386" s="4" t="str">
        <f aca="false">IFERROR(__xludf.dummyfunction("""COMPUTED_VALUE"""),"suggestion::wrong::label")</f>
        <v>suggestion::wrong::label</v>
      </c>
      <c r="H386" s="4" t="str">
        <f aca="false">IFERROR(__xludf.dummyfunction("""COMPUTED_VALUE"""),"requesting::somebodyelse::for::approval::for::submitting5")</f>
        <v>requesting::somebodyelse::for::approval::for::submitting5</v>
      </c>
    </row>
    <row r="387" customFormat="false" ht="15.75" hidden="false" customHeight="false" outlineLevel="0" collapsed="false">
      <c r="A387" s="3" t="s">
        <v>2000</v>
      </c>
      <c r="B387" s="3" t="str">
        <f aca="false">IF(COUNTIF(Final_CB_R8_V5!$B$8:$B$20345,A387)&gt;=1,"YES","NO")</f>
        <v>YES</v>
      </c>
      <c r="C387" s="3" t="s">
        <v>2110</v>
      </c>
      <c r="D387" s="3" t="str">
        <f aca="false">IF(COUNTIF(Final_CB_R8_V5!$C$8:$C$2345,C387)&gt;=1,"YES","NO")</f>
        <v>YES</v>
      </c>
      <c r="G387" s="4" t="str">
        <f aca="false">IFERROR(__xludf.dummyfunction("""COMPUTED_VALUE"""),"summary::of::the::bug(s)")</f>
        <v>summary::of::the::bug(s)</v>
      </c>
      <c r="H387" s="4" t="str">
        <f aca="false">IFERROR(__xludf.dummyfunction("""COMPUTED_VALUE"""),"requesting::somebodyelse::for::approval::for::submitting6")</f>
        <v>requesting::somebodyelse::for::approval::for::submitting6</v>
      </c>
    </row>
    <row r="388" customFormat="false" ht="15.75" hidden="false" customHeight="false" outlineLevel="0" collapsed="false">
      <c r="A388" s="3" t="s">
        <v>2001</v>
      </c>
      <c r="B388" s="3" t="str">
        <f aca="false">IF(COUNTIF(Final_CB_R8_V5!$B$8:$B$20345,A388)&gt;=1,"YES","NO")</f>
        <v>YES</v>
      </c>
      <c r="C388" s="3" t="s">
        <v>2111</v>
      </c>
      <c r="D388" s="3" t="str">
        <f aca="false">IF(COUNTIF(Final_CB_R8_V5!$C$8:$C$2345,C388)&gt;=1,"YES","NO")</f>
        <v>YES</v>
      </c>
      <c r="G388" s="4" t="str">
        <f aca="false">IFERROR(__xludf.dummyfunction("""COMPUTED_VALUE"""),"summary::of::the::changes")</f>
        <v>summary::of::the::changes</v>
      </c>
      <c r="H388" s="4" t="str">
        <f aca="false">IFERROR(__xludf.dummyfunction("""COMPUTED_VALUE"""),"requesting::somebodyelse::for::approval::for::submitting7")</f>
        <v>requesting::somebodyelse::for::approval::for::submitting7</v>
      </c>
    </row>
    <row r="389" customFormat="false" ht="15.75" hidden="false" customHeight="false" outlineLevel="0" collapsed="false">
      <c r="A389" s="3" t="s">
        <v>2002</v>
      </c>
      <c r="B389" s="3" t="str">
        <f aca="false">IF(COUNTIF(Final_CB_R8_V5!$B$8:$B$20345,A389)&gt;=1,"YES","NO")</f>
        <v>YES</v>
      </c>
      <c r="C389" s="3" t="s">
        <v>2112</v>
      </c>
      <c r="D389" s="3" t="str">
        <f aca="false">IF(COUNTIF(Final_CB_R8_V5!$C$8:$C$2345,C389)&gt;=1,"YES","NO")</f>
        <v>YES</v>
      </c>
      <c r="G389" s="4" t="str">
        <f aca="false">IFERROR(__xludf.dummyfunction("""COMPUTED_VALUE"""),"test::results::(unit::tests)")</f>
        <v>test::results::(unit::tests)</v>
      </c>
      <c r="H389" s="4" t="str">
        <f aca="false">IFERROR(__xludf.dummyfunction("""COMPUTED_VALUE"""),"requesting::somebodyelse::for::approval::for::submitting8")</f>
        <v>requesting::somebodyelse::for::approval::for::submitting8</v>
      </c>
    </row>
    <row r="390" customFormat="false" ht="15.75" hidden="false" customHeight="false" outlineLevel="0" collapsed="false">
      <c r="A390" s="3" t="s">
        <v>2113</v>
      </c>
      <c r="B390" s="3" t="str">
        <f aca="false">IF(COUNTIF(Final_CB_R8_V5!$B$8:$B$20345,A390)&gt;=1,"YES","NO")</f>
        <v>YES</v>
      </c>
      <c r="C390" s="3" t="s">
        <v>2114</v>
      </c>
      <c r="D390" s="3" t="str">
        <f aca="false">IF(COUNTIF(Final_CB_R8_V5!$C$8:$C$2345,C390)&gt;=1,"YES","NO")</f>
        <v>YES</v>
      </c>
      <c r="G390" s="4" t="str">
        <f aca="false">IFERROR(__xludf.dummyfunction("""COMPUTED_VALUE"""),"thanking::for::fix")</f>
        <v>thanking::for::fix</v>
      </c>
      <c r="H390" s="4" t="str">
        <f aca="false">IFERROR(__xludf.dummyfunction("""COMPUTED_VALUE"""),"requesting::somebodyelse::for::approval::for::submitting9")</f>
        <v>requesting::somebodyelse::for::approval::for::submitting9</v>
      </c>
    </row>
    <row r="391" customFormat="false" ht="15.75" hidden="false" customHeight="false" outlineLevel="0" collapsed="false">
      <c r="A391" s="3" t="s">
        <v>2115</v>
      </c>
      <c r="B391" s="3" t="str">
        <f aca="false">IF(COUNTIF(Final_CB_R8_V5!$B$8:$B$20345,A391)&gt;=1,"YES","NO")</f>
        <v>YES</v>
      </c>
      <c r="C391" s="3" t="s">
        <v>560</v>
      </c>
      <c r="D391" s="3" t="str">
        <f aca="false">IF(COUNTIF(Final_CB_R8_V5!$C$8:$C$2345,C391)&gt;=1,"YES","NO")</f>
        <v>YES</v>
      </c>
      <c r="G391" s="4" t="str">
        <f aca="false">IFERROR(__xludf.dummyfunction("""COMPUTED_VALUE"""),"thanking::for::reply")</f>
        <v>thanking::for::reply</v>
      </c>
      <c r="H391" s="4" t="str">
        <f aca="false">IFERROR(__xludf.dummyfunction("""COMPUTED_VALUE"""),"requesting::suggestions::about::code::comment")</f>
        <v>requesting::suggestions::about::code::comment</v>
      </c>
    </row>
    <row r="392" customFormat="false" ht="15.75" hidden="false" customHeight="false" outlineLevel="0" collapsed="false">
      <c r="A392" s="3" t="s">
        <v>2116</v>
      </c>
      <c r="B392" s="3" t="str">
        <f aca="false">IF(COUNTIF(Final_CB_R8_V5!$B$8:$B$20345,A392)&gt;=1,"YES","NO")</f>
        <v>YES</v>
      </c>
      <c r="C392" s="3" t="s">
        <v>2117</v>
      </c>
      <c r="D392" s="3" t="str">
        <f aca="false">IF(COUNTIF(Final_CB_R8_V5!$C$8:$C$2345,C392)&gt;=1,"YES","NO")</f>
        <v>YES</v>
      </c>
      <c r="G392" s="4" t="str">
        <f aca="false">IFERROR(__xludf.dummyfunction("""COMPUTED_VALUE"""),"thanking::for::review")</f>
        <v>thanking::for::review</v>
      </c>
      <c r="H392" s="4" t="str">
        <f aca="false">IFERROR(__xludf.dummyfunction("""COMPUTED_VALUE"""),"reset::voting")</f>
        <v>reset::voting</v>
      </c>
    </row>
    <row r="393" customFormat="false" ht="15.75" hidden="false" customHeight="false" outlineLevel="0" collapsed="false">
      <c r="A393" s="3" t="s">
        <v>2118</v>
      </c>
      <c r="B393" s="3" t="str">
        <f aca="false">IF(COUNTIF(Final_CB_R8_V5!$B$8:$B$20345,A393)&gt;=1,"YES","NO")</f>
        <v>YES</v>
      </c>
      <c r="C393" s="3" t="s">
        <v>2119</v>
      </c>
      <c r="D393" s="3" t="str">
        <f aca="false">IF(COUNTIF(Final_CB_R8_V5!$C$8:$C$2345,C393)&gt;=1,"YES","NO")</f>
        <v>YES</v>
      </c>
      <c r="G393" s="4" t="str">
        <f aca="false">IFERROR(__xludf.dummyfunction("""COMPUTED_VALUE"""),"trivial::fix")</f>
        <v>trivial::fix</v>
      </c>
      <c r="H393" s="4" t="str">
        <f aca="false">IFERROR(__xludf.dummyfunction("""COMPUTED_VALUE"""),"reset::voting2")</f>
        <v>reset::voting2</v>
      </c>
    </row>
    <row r="394" customFormat="false" ht="15.75" hidden="false" customHeight="false" outlineLevel="0" collapsed="false">
      <c r="A394" s="3" t="s">
        <v>2005</v>
      </c>
      <c r="B394" s="3" t="str">
        <f aca="false">IF(COUNTIF(Final_CB_R8_V5!$B$8:$B$20345,A394)&gt;=1,"YES","NO")</f>
        <v>YES</v>
      </c>
      <c r="C394" s="3" t="s">
        <v>2120</v>
      </c>
      <c r="D394" s="3" t="str">
        <f aca="false">IF(COUNTIF(Final_CB_R8_V5!$C$8:$C$2345,C394)&gt;=1,"YES","NO")</f>
        <v>YES</v>
      </c>
      <c r="G394" s="4" t="str">
        <f aca="false">IFERROR(__xludf.dummyfunction("""COMPUTED_VALUE"""),"wait::for::feature::freeze::(FFE)")</f>
        <v>wait::for::feature::freeze::(FFE)</v>
      </c>
      <c r="H394" s="4" t="str">
        <f aca="false">IFERROR(__xludf.dummyfunction("""COMPUTED_VALUE"""),"reset::voting3")</f>
        <v>reset::voting3</v>
      </c>
    </row>
    <row r="395" customFormat="false" ht="15.75" hidden="false" customHeight="false" outlineLevel="0" collapsed="false">
      <c r="A395" s="3" t="s">
        <v>2007</v>
      </c>
      <c r="B395" s="3" t="str">
        <f aca="false">IF(COUNTIF(Final_CB_R8_V5!$B$8:$B$20345,A395)&gt;=1,"YES","NO")</f>
        <v>YES</v>
      </c>
      <c r="C395" s="3" t="s">
        <v>2121</v>
      </c>
      <c r="D395" s="3" t="str">
        <f aca="false">IF(COUNTIF(Final_CB_R8_V5!$C$8:$C$2345,C395)&gt;=1,"YES","NO")</f>
        <v>YES</v>
      </c>
      <c r="G395" s="4" t="str">
        <f aca="false">IFERROR(__xludf.dummyfunction("""COMPUTED_VALUE"""),"wait::for::issue::approval::(BP)")</f>
        <v>wait::for::issue::approval::(BP)</v>
      </c>
      <c r="H395" s="4" t="str">
        <f aca="false">IFERROR(__xludf.dummyfunction("""COMPUTED_VALUE"""),"retracting::objecting::change::(intended::solution::design)")</f>
        <v>retracting::objecting::change::(intended::solution::design)</v>
      </c>
    </row>
    <row r="396" customFormat="false" ht="15.75" hidden="false" customHeight="false" outlineLevel="0" collapsed="false">
      <c r="A396" s="3" t="s">
        <v>2122</v>
      </c>
      <c r="B396" s="3" t="str">
        <f aca="false">IF(COUNTIF(Final_CB_R8_V5!$B$8:$B$20345,A396)&gt;=1,"YES","NO")</f>
        <v>YES</v>
      </c>
      <c r="C396" s="3" t="s">
        <v>2123</v>
      </c>
      <c r="D396" s="3" t="str">
        <f aca="false">IF(COUNTIF(Final_CB_R8_V5!$C$8:$C$2345,C396)&gt;=1,"YES","NO")</f>
        <v>YES</v>
      </c>
      <c r="G396" s="4" t="str">
        <f aca="false">IFERROR(__xludf.dummyfunction("""COMPUTED_VALUE"""),"wait::for::next::release")</f>
        <v>wait::for::next::release</v>
      </c>
      <c r="H396" s="4" t="str">
        <f aca="false">IFERROR(__xludf.dummyfunction("""COMPUTED_VALUE"""),"retracting::retracting::objecting::change::(intended::solution::design)")</f>
        <v>retracting::retracting::objecting::change::(intended::solution::design)</v>
      </c>
    </row>
    <row r="397" customFormat="false" ht="15.75" hidden="false" customHeight="false" outlineLevel="0" collapsed="false">
      <c r="A397" s="3" t="s">
        <v>2124</v>
      </c>
      <c r="B397" s="3" t="str">
        <f aca="false">IF(COUNTIF(Final_CB_R8_V5!$B$8:$B$20345,A397)&gt;=1,"YES","NO")</f>
        <v>YES</v>
      </c>
      <c r="C397" s="3" t="s">
        <v>2125</v>
      </c>
      <c r="D397" s="3" t="str">
        <f aca="false">IF(COUNTIF(Final_CB_R8_V5!$C$8:$C$2345,C397)&gt;=1,"YES","NO")</f>
        <v>YES</v>
      </c>
      <c r="G397" s="4" t="str">
        <f aca="false">IFERROR(__xludf.dummyfunction("""COMPUTED_VALUE"""),"wait::until::CI::pass")</f>
        <v>wait::until::CI::pass</v>
      </c>
      <c r="H397" s="4" t="str">
        <f aca="false">IFERROR(__xludf.dummyfunction("""COMPUTED_VALUE"""),"retracting::suggestion::assert::change")</f>
        <v>retracting::suggestion::assert::change</v>
      </c>
    </row>
    <row r="398" customFormat="false" ht="15.75" hidden="false" customHeight="false" outlineLevel="0" collapsed="false">
      <c r="A398" s="3" t="s">
        <v>2126</v>
      </c>
      <c r="B398" s="3" t="str">
        <f aca="false">IF(COUNTIF(Final_CB_R8_V5!$B$8:$B$20345,A398)&gt;=1,"YES","NO")</f>
        <v>YES</v>
      </c>
      <c r="C398" s="3" t="s">
        <v>2127</v>
      </c>
      <c r="D398" s="3" t="str">
        <f aca="false">IF(COUNTIF(Final_CB_R8_V5!$C$8:$C$2345,C398)&gt;=1,"YES","NO")</f>
        <v>YES</v>
      </c>
      <c r="G398" s="4" t="str">
        <f aca="false">IFERROR(__xludf.dummyfunction("""COMPUTED_VALUE"""),"waiting::for::fix")</f>
        <v>waiting::for::fix</v>
      </c>
      <c r="H398" s="4" t="str">
        <f aca="false">IFERROR(__xludf.dummyfunction("""COMPUTED_VALUE"""),"retracting::suggestion::change::(change::method)")</f>
        <v>retracting::suggestion::change::(change::method)</v>
      </c>
    </row>
    <row r="399" customFormat="false" ht="15.75" hidden="false" customHeight="false" outlineLevel="0" collapsed="false">
      <c r="A399" s="3" t="s">
        <v>2128</v>
      </c>
      <c r="B399" s="3" t="str">
        <f aca="false">IF(COUNTIF(Final_CB_R8_V5!$B$8:$B$20345,A399)&gt;=1,"YES","NO")</f>
        <v>YES</v>
      </c>
      <c r="C399" s="3" t="s">
        <v>2129</v>
      </c>
      <c r="D399" s="3" t="str">
        <f aca="false">IF(COUNTIF(Final_CB_R8_V5!$C$8:$C$2345,C399)&gt;=1,"YES","NO")</f>
        <v>YES</v>
      </c>
      <c r="G399" s="4" t="str">
        <f aca="false">IFERROR(__xludf.dummyfunction("""COMPUTED_VALUE"""),"waiting::for::patch::(other::blueprint)")</f>
        <v>waiting::for::patch::(other::blueprint)</v>
      </c>
      <c r="H399" s="4" t="str">
        <f aca="false">IFERROR(__xludf.dummyfunction("""COMPUTED_VALUE"""),"retracting::suggestion::refactoring::(renaming)")</f>
        <v>retracting::suggestion::refactoring::(renaming)</v>
      </c>
    </row>
    <row r="400" customFormat="false" ht="15.75" hidden="false" customHeight="false" outlineLevel="0" collapsed="false">
      <c r="A400" s="3" t="s">
        <v>535</v>
      </c>
      <c r="B400" s="3" t="str">
        <f aca="false">IF(COUNTIF(Final_CB_R8_V5!$B$8:$B$20345,A400)&gt;=1,"YES","NO")</f>
        <v>YES</v>
      </c>
      <c r="C400" s="3" t="s">
        <v>2130</v>
      </c>
      <c r="D400" s="3" t="str">
        <f aca="false">IF(COUNTIF(Final_CB_R8_V5!$C$8:$C$2345,C400)&gt;=1,"YES","NO")</f>
        <v>YES</v>
      </c>
      <c r="G400" s="4" t="str">
        <f aca="false">IFERROR(__xludf.dummyfunction("""COMPUTED_VALUE"""),"waiting::for::patch::(other::review)")</f>
        <v>waiting::for::patch::(other::review)</v>
      </c>
      <c r="H400" s="4" t="str">
        <f aca="false">IFERROR(__xludf.dummyfunction("""COMPUTED_VALUE"""),"retracting::suggestion::refactoring::(style)::what::to::import")</f>
        <v>retracting::suggestion::refactoring::(style)::what::to::import</v>
      </c>
    </row>
    <row r="401" customFormat="false" ht="15.75" hidden="false" customHeight="false" outlineLevel="0" collapsed="false">
      <c r="A401" s="3" t="s">
        <v>2131</v>
      </c>
      <c r="B401" s="3" t="str">
        <f aca="false">IF(COUNTIF(Final_CB_R8_V5!$B$8:$B$20345,A401)&gt;=1,"YES","NO")</f>
        <v>YES</v>
      </c>
      <c r="C401" s="3" t="s">
        <v>2132</v>
      </c>
      <c r="D401" s="3" t="str">
        <f aca="false">IF(COUNTIF(Final_CB_R8_V5!$C$8:$C$2345,C401)&gt;=1,"YES","NO")</f>
        <v>YES</v>
      </c>
      <c r="G401" s="4" t="str">
        <f aca="false">IFERROR(__xludf.dummyfunction("""COMPUTED_VALUE"""),"x")</f>
        <v>x</v>
      </c>
      <c r="H401" s="4" t="str">
        <f aca="false">IFERROR(__xludf.dummyfunction("""COMPUTED_VALUE"""),"review::restored::after::abandoned4")</f>
        <v>review::restored::after::abandoned4</v>
      </c>
    </row>
    <row r="402" customFormat="false" ht="15.75" hidden="false" customHeight="false" outlineLevel="0" collapsed="false">
      <c r="A402" s="3" t="s">
        <v>2013</v>
      </c>
      <c r="B402" s="3" t="str">
        <f aca="false">IF(COUNTIF(Final_CB_R8_V5!$B$8:$B$20345,A402)&gt;=1,"YES","NO")</f>
        <v>YES</v>
      </c>
      <c r="C402" s="3" t="s">
        <v>2133</v>
      </c>
      <c r="D402" s="3" t="str">
        <f aca="false">IF(COUNTIF(Final_CB_R8_V5!$C$8:$C$2345,C402)&gt;=1,"YES","NO")</f>
        <v>YES</v>
      </c>
      <c r="G402" s="4"/>
      <c r="H402" s="4" t="str">
        <f aca="false">IFERROR(__xludf.dummyfunction("""COMPUTED_VALUE"""),"review::restored::after::abandoned5")</f>
        <v>review::restored::after::abandoned5</v>
      </c>
    </row>
    <row r="403" customFormat="false" ht="15.75" hidden="false" customHeight="false" outlineLevel="0" collapsed="false">
      <c r="A403" s="3" t="s">
        <v>2134</v>
      </c>
      <c r="B403" s="3" t="str">
        <f aca="false">IF(COUNTIF(Final_CB_R8_V5!$B$8:$B$20345,A403)&gt;=1,"YES","NO")</f>
        <v>YES</v>
      </c>
      <c r="C403" s="3" t="s">
        <v>2135</v>
      </c>
      <c r="D403" s="3" t="str">
        <f aca="false">IF(COUNTIF(Final_CB_R8_V5!$C$8:$C$2345,C403)&gt;=1,"YES","NO")</f>
        <v>YES</v>
      </c>
      <c r="G403" s="4"/>
      <c r="H403" s="4" t="str">
        <f aca="false">IFERROR(__xludf.dummyfunction("""COMPUTED_VALUE"""),"solution::to::external::library::problem:.encountered")</f>
        <v>solution::to::external::library::problem:.encountered</v>
      </c>
    </row>
    <row r="404" customFormat="false" ht="15.75" hidden="false" customHeight="false" outlineLevel="0" collapsed="false">
      <c r="A404" s="3" t="s">
        <v>2136</v>
      </c>
      <c r="B404" s="3" t="str">
        <f aca="false">IF(COUNTIF(Final_CB_R8_V5!$B$8:$B$20345,A404)&gt;=1,"YES","NO")</f>
        <v>YES</v>
      </c>
      <c r="C404" s="3" t="s">
        <v>2137</v>
      </c>
      <c r="D404" s="3" t="str">
        <f aca="false">IF(COUNTIF(Final_CB_R8_V5!$C$8:$C$2345,C404)&gt;=1,"YES","NO")</f>
        <v>YES</v>
      </c>
      <c r="G404" s="4"/>
      <c r="H404" s="4" t="str">
        <f aca="false">IFERROR(__xludf.dummyfunction("""COMPUTED_VALUE"""),"source::of::test::failing::(external(bug)::internal)")</f>
        <v>source::of::test::failing::(external(bug)::internal)</v>
      </c>
    </row>
    <row r="405" customFormat="false" ht="15.75" hidden="false" customHeight="false" outlineLevel="0" collapsed="false">
      <c r="A405" s="3" t="s">
        <v>2138</v>
      </c>
      <c r="B405" s="3" t="str">
        <f aca="false">IF(COUNTIF(Final_CB_R8_V5!$B$8:$B$20345,A405)&gt;=1,"YES","NO")</f>
        <v>YES</v>
      </c>
      <c r="C405" s="3" t="s">
        <v>2139</v>
      </c>
      <c r="D405" s="3" t="str">
        <f aca="false">IF(COUNTIF(Final_CB_R8_V5!$C$8:$C$2345,C405)&gt;=1,"YES","NO")</f>
        <v>YES</v>
      </c>
      <c r="G405" s="4"/>
      <c r="H405" s="4" t="str">
        <f aca="false">IFERROR(__xludf.dummyfunction("""COMPUTED_VALUE"""),"source::of::test::failing::(external::internal)")</f>
        <v>source::of::test::failing::(external::internal)</v>
      </c>
    </row>
    <row r="406" customFormat="false" ht="15.75" hidden="false" customHeight="false" outlineLevel="0" collapsed="false">
      <c r="A406" s="3" t="s">
        <v>2140</v>
      </c>
      <c r="B406" s="3" t="str">
        <f aca="false">IF(COUNTIF(Final_CB_R8_V5!$B$8:$B$20345,A406)&gt;=1,"YES","NO")</f>
        <v>YES</v>
      </c>
      <c r="C406" s="3" t="s">
        <v>2141</v>
      </c>
      <c r="D406" s="3" t="str">
        <f aca="false">IF(COUNTIF(Final_CB_R8_V5!$C$8:$C$2345,C406)&gt;=1,"YES","NO")</f>
        <v>YES</v>
      </c>
      <c r="G406" s="4"/>
      <c r="H406" s="4" t="str">
        <f aca="false">IFERROR(__xludf.dummyfunction("""COMPUTED_VALUE"""),"source::of::test::failing::(external::source)")</f>
        <v>source::of::test::failing::(external::source)</v>
      </c>
    </row>
    <row r="407" customFormat="false" ht="15.75" hidden="false" customHeight="false" outlineLevel="0" collapsed="false">
      <c r="A407" s="3" t="s">
        <v>2142</v>
      </c>
      <c r="B407" s="3" t="str">
        <f aca="false">IF(COUNTIF(Final_CB_R8_V5!$B$8:$B$20345,A407)&gt;=1,"YES","NO")</f>
        <v>YES</v>
      </c>
      <c r="C407" s="3" t="s">
        <v>2143</v>
      </c>
      <c r="D407" s="3" t="str">
        <f aca="false">IF(COUNTIF(Final_CB_R8_V5!$C$8:$C$2345,C407)&gt;=1,"YES","NO")</f>
        <v>YES</v>
      </c>
      <c r="G407" s="4"/>
      <c r="H407" s="4" t="str">
        <f aca="false">IFERROR(__xludf.dummyfunction("""COMPUTED_VALUE"""),"suggesting::extending::tests")</f>
        <v>suggesting::extending::tests</v>
      </c>
    </row>
    <row r="408" customFormat="false" ht="15.75" hidden="false" customHeight="false" outlineLevel="0" collapsed="false">
      <c r="A408" s="3" t="s">
        <v>2054</v>
      </c>
      <c r="B408" s="3" t="str">
        <f aca="false">IF(COUNTIF(Final_CB_R8_V5!$B$8:$B$20345,A408)&gt;=1,"YES","NO")</f>
        <v>YES</v>
      </c>
      <c r="C408" s="3" t="s">
        <v>2144</v>
      </c>
      <c r="D408" s="3" t="str">
        <f aca="false">IF(COUNTIF(Final_CB_R8_V5!$C$8:$C$2345,C408)&gt;=1,"YES","NO")</f>
        <v>YES</v>
      </c>
      <c r="G408" s="4"/>
      <c r="H408" s="4" t="str">
        <f aca="false">IFERROR(__xludf.dummyfunction("""COMPUTED_VALUE"""),"suggesting::reversing::the::commit")</f>
        <v>suggesting::reversing::the::commit</v>
      </c>
    </row>
    <row r="409" customFormat="false" ht="15.75" hidden="false" customHeight="false" outlineLevel="0" collapsed="false">
      <c r="A409" s="3" t="s">
        <v>2057</v>
      </c>
      <c r="B409" s="3" t="str">
        <f aca="false">IF(COUNTIF(Final_CB_R8_V5!$B$8:$B$20345,A409)&gt;=1,"YES","NO")</f>
        <v>YES</v>
      </c>
      <c r="C409" s="3" t="s">
        <v>2145</v>
      </c>
      <c r="D409" s="3" t="str">
        <f aca="false">IF(COUNTIF(Final_CB_R8_V5!$C$8:$C$2345,C409)&gt;=1,"YES","NO")</f>
        <v>YES</v>
      </c>
      <c r="G409" s="4"/>
      <c r="H409" s="4" t="str">
        <f aca="false">IFERROR(__xludf.dummyfunction("""COMPUTED_VALUE"""),"suggestion::assert::change")</f>
        <v>suggestion::assert::change</v>
      </c>
    </row>
    <row r="410" customFormat="false" ht="15.75" hidden="false" customHeight="false" outlineLevel="0" collapsed="false">
      <c r="A410" s="3" t="s">
        <v>2146</v>
      </c>
      <c r="B410" s="3" t="str">
        <f aca="false">IF(COUNTIF(Final_CB_R8_V5!$B$8:$B$20345,A410)&gt;=1,"YES","NO")</f>
        <v>YES</v>
      </c>
      <c r="C410" s="3" t="s">
        <v>2147</v>
      </c>
      <c r="D410" s="3" t="str">
        <f aca="false">IF(COUNTIF(Final_CB_R8_V5!$C$8:$C$2345,C410)&gt;=1,"YES","NO")</f>
        <v>YES</v>
      </c>
      <c r="G410" s="4"/>
      <c r="H410" s="4" t="str">
        <f aca="false">IFERROR(__xludf.dummyfunction("""COMPUTED_VALUE"""),"suggestion::change::(add::functionallity)")</f>
        <v>suggestion::change::(add::functionallity)</v>
      </c>
    </row>
    <row r="411" customFormat="false" ht="15.75" hidden="false" customHeight="false" outlineLevel="0" collapsed="false">
      <c r="A411" s="3" t="s">
        <v>2148</v>
      </c>
      <c r="B411" s="3" t="str">
        <f aca="false">IF(COUNTIF(Final_CB_R8_V5!$B$8:$B$20345,A411)&gt;=1,"YES","NO")</f>
        <v>YES</v>
      </c>
      <c r="C411" s="3" t="s">
        <v>2149</v>
      </c>
      <c r="D411" s="3" t="str">
        <f aca="false">IF(COUNTIF(Final_CB_R8_V5!$C$8:$C$2345,C411)&gt;=1,"YES","NO")</f>
        <v>YES</v>
      </c>
      <c r="G411" s="4"/>
      <c r="H411" s="4" t="str">
        <f aca="false">IFERROR(__xludf.dummyfunction("""COMPUTED_VALUE"""),"suggestion::change::(apply::to::different::api::version)")</f>
        <v>suggestion::change::(apply::to::different::api::version)</v>
      </c>
    </row>
    <row r="412" customFormat="false" ht="15.75" hidden="false" customHeight="false" outlineLevel="0" collapsed="false">
      <c r="A412" s="3" t="s">
        <v>2150</v>
      </c>
      <c r="B412" s="3" t="str">
        <f aca="false">IF(COUNTIF(Final_CB_R8_V5!$B$8:$B$20345,A412)&gt;=1,"YES","NO")</f>
        <v>YES</v>
      </c>
      <c r="C412" s="3" t="s">
        <v>2151</v>
      </c>
      <c r="D412" s="3" t="str">
        <f aca="false">IF(COUNTIF(Final_CB_R8_V5!$C$8:$C$2345,C412)&gt;=1,"YES","NO")</f>
        <v>YES</v>
      </c>
      <c r="G412" s="4"/>
      <c r="H412" s="4" t="str">
        <f aca="false">IFERROR(__xludf.dummyfunction("""COMPUTED_VALUE"""),"suggestion::change::(architecture::tests)")</f>
        <v>suggestion::change::(architecture::tests)</v>
      </c>
    </row>
    <row r="413" customFormat="false" ht="15.75" hidden="false" customHeight="false" outlineLevel="0" collapsed="false">
      <c r="A413" s="3" t="s">
        <v>2069</v>
      </c>
      <c r="B413" s="3" t="str">
        <f aca="false">IF(COUNTIF(Final_CB_R8_V5!$B$8:$B$20345,A413)&gt;=1,"YES","NO")</f>
        <v>YES</v>
      </c>
      <c r="C413" s="3" t="s">
        <v>2152</v>
      </c>
      <c r="D413" s="3" t="str">
        <f aca="false">IF(COUNTIF(Final_CB_R8_V5!$C$8:$C$2345,C413)&gt;=1,"YES","NO")</f>
        <v>YES</v>
      </c>
      <c r="G413" s="4"/>
      <c r="H413" s="4" t="str">
        <f aca="false">IFERROR(__xludf.dummyfunction("""COMPUTED_VALUE"""),"suggestion::change::(change::input::parameter)")</f>
        <v>suggestion::change::(change::input::parameter)</v>
      </c>
    </row>
    <row r="414" customFormat="false" ht="15.75" hidden="false" customHeight="false" outlineLevel="0" collapsed="false">
      <c r="A414" s="3" t="s">
        <v>2153</v>
      </c>
      <c r="B414" s="3" t="str">
        <f aca="false">IF(COUNTIF(Final_CB_R8_V5!$B$8:$B$20345,A414)&gt;=1,"YES","NO")</f>
        <v>YES</v>
      </c>
      <c r="C414" s="3" t="s">
        <v>2154</v>
      </c>
      <c r="D414" s="3" t="str">
        <f aca="false">IF(COUNTIF(Final_CB_R8_V5!$C$8:$C$2345,C414)&gt;=1,"YES","NO")</f>
        <v>YES</v>
      </c>
      <c r="G414" s="4"/>
      <c r="H414" s="4" t="str">
        <f aca="false">IFERROR(__xludf.dummyfunction("""COMPUTED_VALUE"""),"suggestion::change::(change::the::used::value::of::variable)")</f>
        <v>suggestion::change::(change::the::used::value::of::variable)</v>
      </c>
    </row>
    <row r="415" customFormat="false" ht="15.75" hidden="false" customHeight="false" outlineLevel="0" collapsed="false">
      <c r="A415" s="3" t="s">
        <v>2073</v>
      </c>
      <c r="B415" s="3" t="str">
        <f aca="false">IF(COUNTIF(Final_CB_R8_V5!$B$8:$B$20345,A415)&gt;=1,"YES","NO")</f>
        <v>YES</v>
      </c>
      <c r="C415" s="3" t="s">
        <v>2155</v>
      </c>
      <c r="D415" s="3" t="str">
        <f aca="false">IF(COUNTIF(Final_CB_R8_V5!$C$8:$C$2345,C415)&gt;=1,"YES","NO")</f>
        <v>YES</v>
      </c>
      <c r="G415" s="4"/>
      <c r="H415" s="4" t="str">
        <f aca="false">IFERROR(__xludf.dummyfunction("""COMPUTED_VALUE"""),"suggestion::change::(content::logging::not::misleading)")</f>
        <v>suggestion::change::(content::logging::not::misleading)</v>
      </c>
    </row>
    <row r="416" customFormat="false" ht="15.75" hidden="false" customHeight="false" outlineLevel="0" collapsed="false">
      <c r="A416" s="3" t="s">
        <v>2156</v>
      </c>
      <c r="B416" s="3" t="str">
        <f aca="false">IF(COUNTIF(Final_CB_R8_V5!$B$8:$B$20345,A416)&gt;=1,"YES","NO")</f>
        <v>YES</v>
      </c>
      <c r="C416" s="3" t="s">
        <v>2157</v>
      </c>
      <c r="D416" s="3" t="str">
        <f aca="false">IF(COUNTIF(Final_CB_R8_V5!$C$8:$C$2345,C416)&gt;=1,"YES","NO")</f>
        <v>YES</v>
      </c>
      <c r="G416" s="4"/>
      <c r="H416" s="4" t="str">
        <f aca="false">IFERROR(__xludf.dummyfunction("""COMPUTED_VALUE"""),"suggestion::change::(decorator::micro::version)")</f>
        <v>suggestion::change::(decorator::micro::version)</v>
      </c>
    </row>
    <row r="417" customFormat="false" ht="15.75" hidden="false" customHeight="false" outlineLevel="0" collapsed="false">
      <c r="A417" s="3" t="s">
        <v>2077</v>
      </c>
      <c r="B417" s="3" t="str">
        <f aca="false">IF(COUNTIF(Final_CB_R8_V5!$B$8:$B$20345,A417)&gt;=1,"YES","NO")</f>
        <v>YES</v>
      </c>
      <c r="C417" s="3" t="s">
        <v>2158</v>
      </c>
      <c r="D417" s="3" t="str">
        <f aca="false">IF(COUNTIF(Final_CB_R8_V5!$C$8:$C$2345,C417)&gt;=1,"YES","NO")</f>
        <v>YES</v>
      </c>
      <c r="G417" s="4"/>
      <c r="H417" s="4" t="str">
        <f aca="false">IFERROR(__xludf.dummyfunction("""COMPUTED_VALUE"""),"suggestion::change::(delete::method/function)")</f>
        <v>suggestion::change::(delete::method/function)</v>
      </c>
    </row>
    <row r="418" customFormat="false" ht="15.75" hidden="false" customHeight="false" outlineLevel="0" collapsed="false">
      <c r="A418" s="3" t="s">
        <v>2159</v>
      </c>
      <c r="B418" s="3" t="str">
        <f aca="false">IF(COUNTIF(Final_CB_R8_V5!$B$8:$B$20345,A418)&gt;=1,"YES","NO")</f>
        <v>YES</v>
      </c>
      <c r="C418" s="3" t="s">
        <v>2160</v>
      </c>
      <c r="D418" s="3" t="str">
        <f aca="false">IF(COUNTIF(Final_CB_R8_V5!$C$8:$C$2345,C418)&gt;=1,"YES","NO")</f>
        <v>YES</v>
      </c>
      <c r="G418" s="4"/>
      <c r="H418" s="4" t="str">
        <f aca="false">IFERROR(__xludf.dummyfunction("""COMPUTED_VALUE"""),"suggestion::change::(design::access::modifiers)")</f>
        <v>suggestion::change::(design::access::modifiers)</v>
      </c>
    </row>
    <row r="419" customFormat="false" ht="15.75" hidden="false" customHeight="false" outlineLevel="0" collapsed="false">
      <c r="A419" s="3" t="s">
        <v>2079</v>
      </c>
      <c r="B419" s="3" t="str">
        <f aca="false">IF(COUNTIF(Final_CB_R8_V5!$B$8:$B$20345,A419)&gt;=1,"YES","NO")</f>
        <v>YES</v>
      </c>
      <c r="C419" s="3" t="s">
        <v>2161</v>
      </c>
      <c r="D419" s="3" t="str">
        <f aca="false">IF(COUNTIF(Final_CB_R8_V5!$C$8:$C$2345,C419)&gt;=1,"YES","NO")</f>
        <v>YES</v>
      </c>
      <c r="G419" s="4"/>
      <c r="H419" s="4" t="str">
        <f aca="false">IFERROR(__xludf.dummyfunction("""COMPUTED_VALUE"""),"suggestion::change::(documentation::config::helper::info)")</f>
        <v>suggestion::change::(documentation::config::helper::info)</v>
      </c>
    </row>
    <row r="420" customFormat="false" ht="15.75" hidden="false" customHeight="false" outlineLevel="0" collapsed="false">
      <c r="A420" s="3" t="s">
        <v>2082</v>
      </c>
      <c r="B420" s="3" t="str">
        <f aca="false">IF(COUNTIF(Final_CB_R8_V5!$B$8:$B$20345,A420)&gt;=1,"YES","NO")</f>
        <v>YES</v>
      </c>
      <c r="C420" s="3" t="s">
        <v>2162</v>
      </c>
      <c r="D420" s="3" t="str">
        <f aca="false">IF(COUNTIF(Final_CB_R8_V5!$C$8:$C$2345,C420)&gt;=1,"YES","NO")</f>
        <v>YES</v>
      </c>
      <c r="G420" s="4"/>
      <c r="H420" s="4" t="str">
        <f aca="false">IFERROR(__xludf.dummyfunction("""COMPUTED_VALUE"""),"suggestion::change::(documentation::docstring::introduction)")</f>
        <v>suggestion::change::(documentation::docstring::introduction)</v>
      </c>
    </row>
    <row r="421" customFormat="false" ht="15.75" hidden="false" customHeight="false" outlineLevel="0" collapsed="false">
      <c r="A421" s="3" t="s">
        <v>2163</v>
      </c>
      <c r="B421" s="3" t="str">
        <f aca="false">IF(COUNTIF(Final_CB_R8_V5!$B$8:$B$20345,A421)&gt;=1,"YES","NO")</f>
        <v>YES</v>
      </c>
      <c r="C421" s="3" t="s">
        <v>2164</v>
      </c>
      <c r="D421" s="3" t="str">
        <f aca="false">IF(COUNTIF(Final_CB_R8_V5!$C$8:$C$2345,C421)&gt;=1,"YES","NO")</f>
        <v>YES</v>
      </c>
      <c r="G421" s="4"/>
      <c r="H421" s="4" t="str">
        <f aca="false">IFERROR(__xludf.dummyfunction("""COMPUTED_VALUE"""),"suggestion::change::(documentation::License)")</f>
        <v>suggestion::change::(documentation::License)</v>
      </c>
    </row>
    <row r="422" customFormat="false" ht="15.75" hidden="false" customHeight="false" outlineLevel="0" collapsed="false">
      <c r="A422" s="3" t="s">
        <v>2086</v>
      </c>
      <c r="B422" s="3" t="str">
        <f aca="false">IF(COUNTIF(Final_CB_R8_V5!$B$8:$B$20345,A422)&gt;=1,"YES","NO")</f>
        <v>YES</v>
      </c>
      <c r="C422" s="3" t="s">
        <v>2165</v>
      </c>
      <c r="D422" s="3" t="str">
        <f aca="false">IF(COUNTIF(Final_CB_R8_V5!$C$8:$C$2345,C422)&gt;=1,"YES","NO")</f>
        <v>YES</v>
      </c>
      <c r="G422" s="4"/>
      <c r="H422" s="4" t="str">
        <f aca="false">IFERROR(__xludf.dummyfunction("""COMPUTED_VALUE"""),"suggestion::change::(documentation::mismatch)")</f>
        <v>suggestion::change::(documentation::mismatch)</v>
      </c>
    </row>
    <row r="423" customFormat="false" ht="15.75" hidden="false" customHeight="false" outlineLevel="0" collapsed="false">
      <c r="A423" s="3" t="s">
        <v>2166</v>
      </c>
      <c r="B423" s="3" t="str">
        <f aca="false">IF(COUNTIF(Final_CB_R8_V5!$B$8:$B$20345,A423)&gt;=1,"YES","NO")</f>
        <v>YES</v>
      </c>
      <c r="C423" s="3" t="s">
        <v>2167</v>
      </c>
      <c r="D423" s="3" t="str">
        <f aca="false">IF(COUNTIF(Final_CB_R8_V5!$C$8:$C$2345,C423)&gt;=1,"YES","NO")</f>
        <v>YES</v>
      </c>
      <c r="G423" s="4"/>
      <c r="H423" s="4" t="str">
        <f aca="false">IFERROR(__xludf.dummyfunction("""COMPUTED_VALUE"""),"suggestion::change::(documentation::replace::docstring::with::comments)")</f>
        <v>suggestion::change::(documentation::replace::docstring::with::comments)</v>
      </c>
    </row>
    <row r="424" customFormat="false" ht="15.75" hidden="false" customHeight="false" outlineLevel="0" collapsed="false">
      <c r="A424" s="3" t="s">
        <v>2168</v>
      </c>
      <c r="B424" s="3" t="str">
        <f aca="false">IF(COUNTIF(Final_CB_R8_V5!$B$8:$B$20345,A424)&gt;=1,"YES","NO")</f>
        <v>YES</v>
      </c>
      <c r="C424" s="3" t="s">
        <v>2169</v>
      </c>
      <c r="D424" s="3" t="str">
        <f aca="false">IF(COUNTIF(Final_CB_R8_V5!$C$8:$C$2345,C424)&gt;=1,"YES","NO")</f>
        <v>YES</v>
      </c>
      <c r="G424" s="4"/>
      <c r="H424" s="4" t="str">
        <f aca="false">IFERROR(__xludf.dummyfunction("""COMPUTED_VALUE"""),"suggestion::change::(in::new::PR/Issue)")</f>
        <v>suggestion::change::(in::new::PR/Issue)</v>
      </c>
    </row>
    <row r="425" customFormat="false" ht="15.75" hidden="false" customHeight="false" outlineLevel="0" collapsed="false">
      <c r="A425" s="3" t="s">
        <v>2170</v>
      </c>
      <c r="B425" s="3" t="str">
        <f aca="false">IF(COUNTIF(Final_CB_R8_V5!$B$8:$B$20345,A425)&gt;=1,"YES","NO")</f>
        <v>YES</v>
      </c>
      <c r="C425" s="3" t="s">
        <v>2171</v>
      </c>
      <c r="D425" s="3" t="str">
        <f aca="false">IF(COUNTIF(Final_CB_R8_V5!$C$8:$C$2345,C425)&gt;=1,"YES","NO")</f>
        <v>YES</v>
      </c>
      <c r="G425" s="4"/>
      <c r="H425" s="4" t="str">
        <f aca="false">IFERROR(__xludf.dummyfunction("""COMPUTED_VALUE"""),"suggestion::change::(logic::missing::info)")</f>
        <v>suggestion::change::(logic::missing::info)</v>
      </c>
    </row>
    <row r="426" customFormat="false" ht="15.75" hidden="false" customHeight="false" outlineLevel="0" collapsed="false">
      <c r="A426" s="3" t="s">
        <v>2099</v>
      </c>
      <c r="B426" s="3" t="str">
        <f aca="false">IF(COUNTIF(Final_CB_R8_V5!$B$8:$B$20345,A426)&gt;=1,"YES","NO")</f>
        <v>YES</v>
      </c>
      <c r="C426" s="3" t="s">
        <v>2172</v>
      </c>
      <c r="D426" s="3" t="str">
        <f aca="false">IF(COUNTIF(Final_CB_R8_V5!$C$8:$C$2345,C426)&gt;=1,"YES","NO")</f>
        <v>YES</v>
      </c>
      <c r="G426" s="4"/>
      <c r="H426" s="4" t="str">
        <f aca="false">IFERROR(__xludf.dummyfunction("""COMPUTED_VALUE"""),"suggestion::change::(method::log)")</f>
        <v>suggestion::change::(method::log)</v>
      </c>
    </row>
    <row r="427" customFormat="false" ht="15.75" hidden="false" customHeight="false" outlineLevel="0" collapsed="false">
      <c r="A427" s="3" t="s">
        <v>2173</v>
      </c>
      <c r="B427" s="3" t="str">
        <f aca="false">IF(COUNTIF(Final_CB_R8_V5!$B$8:$B$20345,A427)&gt;=1,"YES","NO")</f>
        <v>YES</v>
      </c>
      <c r="C427" s="3" t="s">
        <v>2174</v>
      </c>
      <c r="D427" s="3" t="str">
        <f aca="false">IF(COUNTIF(Final_CB_R8_V5!$C$8:$C$2345,C427)&gt;=1,"YES","NO")</f>
        <v>YES</v>
      </c>
      <c r="G427" s="4"/>
      <c r="H427" s="4" t="str">
        <f aca="false">IFERROR(__xludf.dummyfunction("""COMPUTED_VALUE"""),"suggestion::change::(missing::characters)")</f>
        <v>suggestion::change::(missing::characters)</v>
      </c>
    </row>
    <row r="428" customFormat="false" ht="15.75" hidden="false" customHeight="false" outlineLevel="0" collapsed="false">
      <c r="A428" s="3" t="s">
        <v>2101</v>
      </c>
      <c r="B428" s="3" t="str">
        <f aca="false">IF(COUNTIF(Final_CB_R8_V5!$B$8:$B$20345,A428)&gt;=1,"YES","NO")</f>
        <v>YES</v>
      </c>
      <c r="C428" s="3" t="s">
        <v>2175</v>
      </c>
      <c r="D428" s="3" t="str">
        <f aca="false">IF(COUNTIF(Final_CB_R8_V5!$C$8:$C$2345,C428)&gt;=1,"YES","NO")</f>
        <v>YES</v>
      </c>
      <c r="G428" s="4"/>
      <c r="H428" s="4" t="str">
        <f aca="false">IFERROR(__xludf.dummyfunction("""COMPUTED_VALUE"""),"suggestion::change::(missing::class)")</f>
        <v>suggestion::change::(missing::class)</v>
      </c>
    </row>
    <row r="429" customFormat="false" ht="15.75" hidden="false" customHeight="false" outlineLevel="0" collapsed="false">
      <c r="A429" s="3" t="s">
        <v>2176</v>
      </c>
      <c r="B429" s="3" t="str">
        <f aca="false">IF(COUNTIF(Final_CB_R8_V5!$B$8:$B$20345,A429)&gt;=1,"YES","NO")</f>
        <v>YES</v>
      </c>
      <c r="C429" s="3" t="s">
        <v>2177</v>
      </c>
      <c r="D429" s="3" t="str">
        <f aca="false">IF(COUNTIF(Final_CB_R8_V5!$C$8:$C$2345,C429)&gt;=1,"YES","NO")</f>
        <v>YES</v>
      </c>
      <c r="G429" s="4"/>
      <c r="H429" s="4" t="str">
        <f aca="false">IFERROR(__xludf.dummyfunction("""COMPUTED_VALUE"""),"suggestion::change::(missing::condition::case)::with::code")</f>
        <v>suggestion::change::(missing::condition::case)::with::code</v>
      </c>
    </row>
    <row r="430" customFormat="false" ht="15.75" hidden="false" customHeight="false" outlineLevel="0" collapsed="false">
      <c r="A430" s="3" t="s">
        <v>2178</v>
      </c>
      <c r="B430" s="3" t="str">
        <f aca="false">IF(COUNTIF(Final_CB_R8_V5!$B$8:$B$20345,A430)&gt;=1,"YES","NO")</f>
        <v>YES</v>
      </c>
      <c r="C430" s="3" t="s">
        <v>2179</v>
      </c>
      <c r="D430" s="3" t="str">
        <f aca="false">IF(COUNTIF(Final_CB_R8_V5!$C$8:$C$2345,C430)&gt;=1,"YES","NO")</f>
        <v>YES</v>
      </c>
      <c r="G430" s="4"/>
      <c r="H430" s="4" t="str">
        <f aca="false">IFERROR(__xludf.dummyfunction("""COMPUTED_VALUE"""),"suggestion::change::(move::logic::method)")</f>
        <v>suggestion::change::(move::logic::method)</v>
      </c>
    </row>
    <row r="431" customFormat="false" ht="15.75" hidden="false" customHeight="false" outlineLevel="0" collapsed="false">
      <c r="A431" s="3" t="s">
        <v>2180</v>
      </c>
      <c r="B431" s="3" t="str">
        <f aca="false">IF(COUNTIF(Final_CB_R8_V5!$B$8:$B$20345,A431)&gt;=1,"YES","NO")</f>
        <v>YES</v>
      </c>
      <c r="C431" s="3" t="s">
        <v>2181</v>
      </c>
      <c r="D431" s="3" t="str">
        <f aca="false">IF(COUNTIF(Final_CB_R8_V5!$C$8:$C$2345,C431)&gt;=1,"YES","NO")</f>
        <v>YES</v>
      </c>
      <c r="G431" s="4"/>
      <c r="H431" s="4" t="str">
        <f aca="false">IFERROR(__xludf.dummyfunction("""COMPUTED_VALUE"""),"suggestion::change::(remove::commented::code)")</f>
        <v>suggestion::change::(remove::commented::code)</v>
      </c>
    </row>
    <row r="432" customFormat="false" ht="15.75" hidden="false" customHeight="false" outlineLevel="0" collapsed="false">
      <c r="A432" s="3" t="s">
        <v>2105</v>
      </c>
      <c r="B432" s="3" t="str">
        <f aca="false">IF(COUNTIF(Final_CB_R8_V5!$B$8:$B$20345,A432)&gt;=1,"YES","NO")</f>
        <v>YES</v>
      </c>
      <c r="C432" s="3" t="s">
        <v>2182</v>
      </c>
      <c r="D432" s="3" t="str">
        <f aca="false">IF(COUNTIF(Final_CB_R8_V5!$C$8:$C$2345,C432)&gt;=1,"YES","NO")</f>
        <v>YES</v>
      </c>
      <c r="G432" s="4"/>
      <c r="H432" s="4" t="str">
        <f aca="false">IFERROR(__xludf.dummyfunction("""COMPUTED_VALUE"""),"suggestion::change::(removing::unnecessary::commit::info)")</f>
        <v>suggestion::change::(removing::unnecessary::commit::info)</v>
      </c>
    </row>
    <row r="433" customFormat="false" ht="15.75" hidden="false" customHeight="false" outlineLevel="0" collapsed="false">
      <c r="A433" s="3" t="s">
        <v>2183</v>
      </c>
      <c r="B433" s="3" t="str">
        <f aca="false">IF(COUNTIF(Final_CB_R8_V5!$B$8:$B$20345,A433)&gt;=1,"YES","NO")</f>
        <v>YES</v>
      </c>
      <c r="C433" s="3" t="s">
        <v>2184</v>
      </c>
      <c r="D433" s="3" t="str">
        <f aca="false">IF(COUNTIF(Final_CB_R8_V5!$C$8:$C$2345,C433)&gt;=1,"YES","NO")</f>
        <v>YES</v>
      </c>
      <c r="G433" s="4"/>
      <c r="H433" s="4" t="str">
        <f aca="false">IFERROR(__xludf.dummyfunction("""COMPUTED_VALUE"""),"suggestion::change::(wrapp::with::exception)")</f>
        <v>suggestion::change::(wrapp::with::exception)</v>
      </c>
    </row>
    <row r="434" customFormat="false" ht="15.75" hidden="false" customHeight="false" outlineLevel="0" collapsed="false">
      <c r="A434" s="3" t="s">
        <v>2110</v>
      </c>
      <c r="B434" s="3" t="str">
        <f aca="false">IF(COUNTIF(Final_CB_R8_V5!$B$8:$B$20345,A434)&gt;=1,"YES","NO")</f>
        <v>YES</v>
      </c>
      <c r="C434" s="3" t="s">
        <v>2185</v>
      </c>
      <c r="D434" s="3" t="str">
        <f aca="false">IF(COUNTIF(Final_CB_R8_V5!$C$8:$C$2345,C434)&gt;=1,"YES","NO")</f>
        <v>YES</v>
      </c>
      <c r="G434" s="4"/>
      <c r="H434" s="4" t="str">
        <f aca="false">IFERROR(__xludf.dummyfunction("""COMPUTED_VALUE"""),"suggestion::change::(wrong::logic)")</f>
        <v>suggestion::change::(wrong::logic)</v>
      </c>
    </row>
    <row r="435" customFormat="false" ht="15.75" hidden="false" customHeight="false" outlineLevel="0" collapsed="false">
      <c r="A435" s="3" t="s">
        <v>560</v>
      </c>
      <c r="B435" s="3" t="str">
        <f aca="false">IF(COUNTIF(Final_CB_R8_V5!$B$8:$B$20345,A435)&gt;=1,"YES","NO")</f>
        <v>YES</v>
      </c>
      <c r="C435" s="3" t="s">
        <v>2186</v>
      </c>
      <c r="D435" s="3" t="str">
        <f aca="false">IF(COUNTIF(Final_CB_R8_V5!$C$8:$C$2345,C435)&gt;=1,"YES","NO")</f>
        <v>YES</v>
      </c>
      <c r="G435" s="4"/>
      <c r="H435" s="4" t="str">
        <f aca="false">IFERROR(__xludf.dummyfunction("""COMPUTED_VALUE"""),"suggestion::change::based::on::test::failure")</f>
        <v>suggestion::change::based::on::test::failure</v>
      </c>
    </row>
    <row r="436" customFormat="false" ht="15.75" hidden="false" customHeight="false" outlineLevel="0" collapsed="false">
      <c r="A436" s="3" t="s">
        <v>2187</v>
      </c>
      <c r="B436" s="3" t="str">
        <f aca="false">IF(COUNTIF(Final_CB_R8_V5!$B$8:$B$20345,A436)&gt;=1,"YES","NO")</f>
        <v>YES</v>
      </c>
      <c r="C436" s="3" t="s">
        <v>2188</v>
      </c>
      <c r="D436" s="3" t="str">
        <f aca="false">IF(COUNTIF(Final_CB_R8_V5!$C$8:$C$2345,C436)&gt;=1,"YES","NO")</f>
        <v>YES</v>
      </c>
      <c r="G436" s="4"/>
      <c r="H436" s="4" t="str">
        <f aca="false">IFERROR(__xludf.dummyfunction("""COMPUTED_VALUE"""),"suggestion::change::current::approach::(change::for::different::api::version)")</f>
        <v>suggestion::change::current::approach::(change::for::different::api::version)</v>
      </c>
    </row>
    <row r="437" customFormat="false" ht="15.75" hidden="false" customHeight="false" outlineLevel="0" collapsed="false">
      <c r="A437" s="3" t="s">
        <v>2189</v>
      </c>
      <c r="B437" s="3" t="str">
        <f aca="false">IF(COUNTIF(Final_CB_R8_V5!$B$8:$B$20345,A437)&gt;=1,"YES","NO")</f>
        <v>YES</v>
      </c>
      <c r="C437" s="3" t="s">
        <v>2190</v>
      </c>
      <c r="D437" s="3" t="str">
        <f aca="false">IF(COUNTIF(Final_CB_R8_V5!$C$8:$C$2345,C437)&gt;=1,"YES","NO")</f>
        <v>YES</v>
      </c>
      <c r="G437" s="4"/>
      <c r="H437" s="4" t="str">
        <f aca="false">IFERROR(__xludf.dummyfunction("""COMPUTED_VALUE"""),"suggestion::change::intended::solution::design")</f>
        <v>suggestion::change::intended::solution::design</v>
      </c>
    </row>
    <row r="438" customFormat="false" ht="15.75" hidden="false" customHeight="false" outlineLevel="0" collapsed="false">
      <c r="A438" s="3" t="s">
        <v>2191</v>
      </c>
      <c r="B438" s="3" t="str">
        <f aca="false">IF(COUNTIF(Final_CB_R8_V5!$B$8:$B$20345,A438)&gt;=1,"YES","NO")</f>
        <v>YES</v>
      </c>
      <c r="C438" s="3" t="s">
        <v>2192</v>
      </c>
      <c r="D438" s="3" t="str">
        <f aca="false">IF(COUNTIF(Final_CB_R8_V5!$C$8:$C$2345,C438)&gt;=1,"YES","NO")</f>
        <v>YES</v>
      </c>
      <c r="G438" s="4"/>
      <c r="H438" s="4" t="str">
        <f aca="false">IFERROR(__xludf.dummyfunction("""COMPUTED_VALUE"""),"suggestion::chnage::(add::exception)")</f>
        <v>suggestion::chnage::(add::exception)</v>
      </c>
    </row>
    <row r="439" customFormat="false" ht="15.75" hidden="false" customHeight="false" outlineLevel="0" collapsed="false">
      <c r="A439" s="3" t="s">
        <v>2193</v>
      </c>
      <c r="B439" s="3" t="str">
        <f aca="false">IF(COUNTIF(Final_CB_R8_V5!$B$8:$B$20345,A439)&gt;=1,"YES","NO")</f>
        <v>YES</v>
      </c>
      <c r="C439" s="3" t="s">
        <v>2194</v>
      </c>
      <c r="D439" s="3" t="str">
        <f aca="false">IF(COUNTIF(Final_CB_R8_V5!$C$8:$C$2345,C439)&gt;=1,"YES","NO")</f>
        <v>YES</v>
      </c>
      <c r="G439" s="4"/>
      <c r="H439" s="4" t="str">
        <f aca="false">IFERROR(__xludf.dummyfunction("""COMPUTED_VALUE"""),"suggestion::code::change::(missing::info)")</f>
        <v>suggestion::code::change::(missing::info)</v>
      </c>
    </row>
    <row r="440" customFormat="false" ht="15.75" hidden="false" customHeight="false" outlineLevel="0" collapsed="false">
      <c r="A440" s="3" t="s">
        <v>2133</v>
      </c>
      <c r="B440" s="3" t="str">
        <f aca="false">IF(COUNTIF(Final_CB_R8_V5!$B$8:$B$20345,A440)&gt;=1,"YES","NO")</f>
        <v>YES</v>
      </c>
      <c r="C440" s="3" t="s">
        <v>2195</v>
      </c>
      <c r="D440" s="3" t="str">
        <f aca="false">IF(COUNTIF(Final_CB_R8_V5!$C$8:$C$2345,C440)&gt;=1,"YES","NO")</f>
        <v>YES</v>
      </c>
      <c r="G440" s="4"/>
      <c r="H440" s="4" t="str">
        <f aca="false">IFERROR(__xludf.dummyfunction("""COMPUTED_VALUE"""),"suggestion::different::approach::(managment::keys)")</f>
        <v>suggestion::different::approach::(managment::keys)</v>
      </c>
    </row>
    <row r="441" customFormat="false" ht="15.75" hidden="false" customHeight="false" outlineLevel="0" collapsed="false">
      <c r="A441" s="3" t="s">
        <v>2196</v>
      </c>
      <c r="B441" s="3" t="str">
        <f aca="false">IF(COUNTIF(Final_CB_R8_V5!$B$8:$B$20345,A441)&gt;=1,"YES","NO")</f>
        <v>YES</v>
      </c>
      <c r="C441" s="3" t="s">
        <v>2197</v>
      </c>
      <c r="D441" s="3" t="str">
        <f aca="false">IF(COUNTIF(Final_CB_R8_V5!$C$8:$C$2345,C441)&gt;=1,"YES","NO")</f>
        <v>YES</v>
      </c>
      <c r="G441" s="4"/>
      <c r="H441" s="4" t="str">
        <f aca="false">IFERROR(__xludf.dummyfunction("""COMPUTED_VALUE"""),"suggestion::different::approach::to::the::change::(due::to::existing::functionallity::duplication)")</f>
        <v>suggestion::different::approach::to::the::change::(due::to::existing::functionallity::duplication)</v>
      </c>
    </row>
    <row r="442" customFormat="false" ht="15.75" hidden="false" customHeight="false" outlineLevel="0" collapsed="false">
      <c r="A442" s="3" t="s">
        <v>2198</v>
      </c>
      <c r="B442" s="3" t="str">
        <f aca="false">IF(COUNTIF(Final_CB_R8_V5!$B$8:$B$20345,A442)&gt;=1,"YES","NO")</f>
        <v>YES</v>
      </c>
      <c r="C442" s="3" t="s">
        <v>2199</v>
      </c>
      <c r="D442" s="3" t="str">
        <f aca="false">IF(COUNTIF(Final_CB_R8_V5!$C$8:$C$2345,C442)&gt;=1,"YES","NO")</f>
        <v>YES</v>
      </c>
      <c r="G442" s="4"/>
      <c r="H442" s="4" t="str">
        <f aca="false">IFERROR(__xludf.dummyfunction("""COMPUTED_VALUE"""),"suggestion::error::code::(extra::characters)")</f>
        <v>suggestion::error::code::(extra::characters)</v>
      </c>
    </row>
    <row r="443" customFormat="false" ht="15.75" hidden="false" customHeight="false" outlineLevel="0" collapsed="false">
      <c r="A443" s="3" t="s">
        <v>2200</v>
      </c>
      <c r="B443" s="3" t="str">
        <f aca="false">IF(COUNTIF(Final_CB_R8_V5!$B$8:$B$20345,A443)&gt;=1,"YES","NO")</f>
        <v>YES</v>
      </c>
      <c r="C443" s="3" t="s">
        <v>2201</v>
      </c>
      <c r="D443" s="3" t="str">
        <f aca="false">IF(COUNTIF(Final_CB_R8_V5!$C$8:$C$2345,C443)&gt;=1,"YES","NO")</f>
        <v>YES</v>
      </c>
      <c r="G443" s="4"/>
      <c r="H443" s="4" t="str">
        <f aca="false">IFERROR(__xludf.dummyfunction("""COMPUTED_VALUE"""),"suggestion::include::changes::of::another::review::(different::change::ID)")</f>
        <v>suggestion::include::changes::of::another::review::(different::change::ID)</v>
      </c>
    </row>
    <row r="444" customFormat="false" ht="15.75" hidden="false" customHeight="false" outlineLevel="0" collapsed="false">
      <c r="A444" s="3" t="s">
        <v>2202</v>
      </c>
      <c r="B444" s="3" t="str">
        <f aca="false">IF(COUNTIF(Final_CB_R8_V5!$B$8:$B$20345,A444)&gt;=1,"YES","NO")</f>
        <v>YES</v>
      </c>
      <c r="C444" s="3" t="s">
        <v>2203</v>
      </c>
      <c r="D444" s="3" t="str">
        <f aca="false">IF(COUNTIF(Final_CB_R8_V5!$C$8:$C$2345,C444)&gt;=1,"YES","NO")</f>
        <v>YES</v>
      </c>
      <c r="G444" s="4"/>
      <c r="H444" s="4" t="str">
        <f aca="false">IFERROR(__xludf.dummyfunction("""COMPUTED_VALUE"""),"suggestion::move:.the::changes:.to::different::patch::(different::change::id)")</f>
        <v>suggestion::move:.the::changes:.to::different::patch::(different::change::id)</v>
      </c>
    </row>
    <row r="445" customFormat="false" ht="15.75" hidden="false" customHeight="false" outlineLevel="0" collapsed="false">
      <c r="A445" s="3" t="s">
        <v>2204</v>
      </c>
      <c r="B445" s="3" t="str">
        <f aca="false">IF(COUNTIF(Final_CB_R8_V5!$B$8:$B$20345,A445)&gt;=1,"YES","NO")</f>
        <v>YES</v>
      </c>
      <c r="C445" s="3" t="s">
        <v>2205</v>
      </c>
      <c r="D445" s="3" t="str">
        <f aca="false">IF(COUNTIF(Final_CB_R8_V5!$C$8:$C$2345,C445)&gt;=1,"YES","NO")</f>
        <v>YES</v>
      </c>
      <c r="G445" s="4"/>
      <c r="H445" s="4" t="str">
        <f aca="false">IFERROR(__xludf.dummyfunction("""COMPUTED_VALUE"""),"suggestion::not::installing::libraries::not::found:.in::official::repo")</f>
        <v>suggestion::not::installing::libraries::not::found:.in::official::repo</v>
      </c>
    </row>
    <row r="446" customFormat="false" ht="15.75" hidden="false" customHeight="false" outlineLevel="0" collapsed="false">
      <c r="A446" s="3" t="s">
        <v>2206</v>
      </c>
      <c r="B446" s="3" t="str">
        <f aca="false">IF(COUNTIF(Final_CB_R8_V5!$B$8:$B$20345,A446)&gt;=1,"YES","NO")</f>
        <v>YES</v>
      </c>
      <c r="C446" s="3" t="s">
        <v>2207</v>
      </c>
      <c r="D446" s="3" t="str">
        <f aca="false">IF(COUNTIF(Final_CB_R8_V5!$C$8:$C$2345,C446)&gt;=1,"YES","NO")</f>
        <v>YES</v>
      </c>
      <c r="G446" s="4"/>
      <c r="H446" s="4" t="str">
        <f aca="false">IFERROR(__xludf.dummyfunction("""COMPUTED_VALUE"""),"suggestion::not::rebasing::the::change")</f>
        <v>suggestion::not::rebasing::the::change</v>
      </c>
    </row>
    <row r="447" customFormat="false" ht="15.75" hidden="false" customHeight="false" outlineLevel="0" collapsed="false">
      <c r="A447" s="3" t="s">
        <v>2208</v>
      </c>
      <c r="B447" s="3" t="str">
        <f aca="false">IF(COUNTIF(Final_CB_R8_V5!$B$8:$B$20345,A447)&gt;=1,"YES","NO")</f>
        <v>YES</v>
      </c>
      <c r="C447" s="3" t="s">
        <v>2209</v>
      </c>
      <c r="D447" s="3" t="str">
        <f aca="false">IF(COUNTIF(Final_CB_R8_V5!$C$8:$C$2345,C447)&gt;=1,"YES","NO")</f>
        <v>YES</v>
      </c>
      <c r="G447" s="4"/>
      <c r="H447" s="4" t="str">
        <f aca="false">IFERROR(__xludf.dummyfunction("""COMPUTED_VALUE"""),"suggestion::of::an::example::(config::file)")</f>
        <v>suggestion::of::an::example::(config::file)</v>
      </c>
    </row>
    <row r="448" customFormat="false" ht="15.75" hidden="false" customHeight="false" outlineLevel="0" collapsed="false">
      <c r="A448" s="3" t="s">
        <v>2210</v>
      </c>
      <c r="B448" s="3" t="str">
        <f aca="false">IF(COUNTIF(Final_CB_R8_V5!$B$8:$B$20345,A448)&gt;=1,"YES","NO")</f>
        <v>YES</v>
      </c>
      <c r="C448" s="3" t="s">
        <v>2211</v>
      </c>
      <c r="D448" s="3" t="str">
        <f aca="false">IF(COUNTIF(Final_CB_R8_V5!$C$8:$C$2345,C448)&gt;=1,"YES","NO")</f>
        <v>YES</v>
      </c>
      <c r="G448" s="4"/>
      <c r="H448" s="4" t="str">
        <f aca="false">IFERROR(__xludf.dummyfunction("""COMPUTED_VALUE"""),"suggestion::of::the::developing::process::(code::and::managment::of::patches)")</f>
        <v>suggestion::of::the::developing::process::(code::and::managment::of::patches)</v>
      </c>
    </row>
    <row r="449" customFormat="false" ht="15.75" hidden="false" customHeight="false" outlineLevel="0" collapsed="false">
      <c r="A449" s="3" t="s">
        <v>2212</v>
      </c>
      <c r="B449" s="3" t="str">
        <f aca="false">IF(COUNTIF(Final_CB_R8_V5!$B$8:$B$20345,A449)&gt;=1,"YES","NO")</f>
        <v>YES</v>
      </c>
      <c r="C449" s="3" t="s">
        <v>2213</v>
      </c>
      <c r="D449" s="3" t="str">
        <f aca="false">IF(COUNTIF(Final_CB_R8_V5!$C$8:$C$2345,C449)&gt;=1,"YES","NO")</f>
        <v>YES</v>
      </c>
      <c r="G449" s="4"/>
      <c r="H449" s="4" t="str">
        <f aca="false">IFERROR(__xludf.dummyfunction("""COMPUTED_VALUE"""),"suggestion::on::how::to::test::(steps::and::needed::devices)")</f>
        <v>suggestion::on::how::to::test::(steps::and::needed::devices)</v>
      </c>
    </row>
    <row r="450" customFormat="false" ht="15.75" hidden="false" customHeight="false" outlineLevel="0" collapsed="false">
      <c r="A450" s="3" t="s">
        <v>2214</v>
      </c>
      <c r="B450" s="3" t="str">
        <f aca="false">IF(COUNTIF(Final_CB_R8_V5!$B$8:$B$20345,A450)&gt;=1,"YES","NO")</f>
        <v>YES</v>
      </c>
      <c r="C450" s="3" t="s">
        <v>2215</v>
      </c>
      <c r="D450" s="3" t="str">
        <f aca="false">IF(COUNTIF(Final_CB_R8_V5!$C$8:$C$2345,C450)&gt;=1,"YES","NO")</f>
        <v>YES</v>
      </c>
      <c r="G450" s="4"/>
      <c r="H450" s="4" t="str">
        <f aca="false">IFERROR(__xludf.dummyfunction("""COMPUTED_VALUE"""),"suggestion::refactoring::(add::exception)")</f>
        <v>suggestion::refactoring::(add::exception)</v>
      </c>
    </row>
    <row r="451" customFormat="false" ht="15.75" hidden="false" customHeight="false" outlineLevel="0" collapsed="false">
      <c r="A451" s="3" t="s">
        <v>2216</v>
      </c>
      <c r="B451" s="3" t="str">
        <f aca="false">IF(COUNTIF(Final_CB_R8_V5!$B$8:$B$20345,A451)&gt;=1,"YES","NO")</f>
        <v>YES</v>
      </c>
      <c r="C451" s="3" t="s">
        <v>2217</v>
      </c>
      <c r="D451" s="3" t="str">
        <f aca="false">IF(COUNTIF(Final_CB_R8_V5!$C$8:$C$2345,C451)&gt;=1,"YES","NO")</f>
        <v>YES</v>
      </c>
      <c r="G451" s="4"/>
      <c r="H451" s="4" t="str">
        <f aca="false">IFERROR(__xludf.dummyfunction("""COMPUTED_VALUE"""),"suggestion::refactoring::(change::data::structure)")</f>
        <v>suggestion::refactoring::(change::data::structure)</v>
      </c>
    </row>
    <row r="452" customFormat="false" ht="15.75" hidden="false" customHeight="false" outlineLevel="0" collapsed="false">
      <c r="A452" s="3" t="s">
        <v>2218</v>
      </c>
      <c r="B452" s="3" t="str">
        <f aca="false">IF(COUNTIF(Final_CB_R8_V5!$B$8:$B$20345,A452)&gt;=1,"YES","NO")</f>
        <v>YES</v>
      </c>
      <c r="C452" s="3" t="s">
        <v>2219</v>
      </c>
      <c r="D452" s="3" t="str">
        <f aca="false">IF(COUNTIF(Final_CB_R8_V5!$C$8:$C$2345,C452)&gt;=1,"YES","NO")</f>
        <v>YES</v>
      </c>
      <c r="G452" s="4"/>
      <c r="H452" s="4" t="str">
        <f aca="false">IFERROR(__xludf.dummyfunction("""COMPUTED_VALUE"""),"suggestion::refactoring::(change::type::function)")</f>
        <v>suggestion::refactoring::(change::type::function)</v>
      </c>
    </row>
    <row r="453" customFormat="false" ht="15.75" hidden="false" customHeight="false" outlineLevel="0" collapsed="false">
      <c r="A453" s="3" t="s">
        <v>2220</v>
      </c>
      <c r="B453" s="3" t="str">
        <f aca="false">IF(COUNTIF(Final_CB_R8_V5!$B$8:$B$20345,A453)&gt;=1,"YES","NO")</f>
        <v>YES</v>
      </c>
      <c r="C453" s="3" t="s">
        <v>2221</v>
      </c>
      <c r="D453" s="3" t="str">
        <f aca="false">IF(COUNTIF(Final_CB_R8_V5!$C$8:$C$2345,C453)&gt;=1,"YES","NO")</f>
        <v>YES</v>
      </c>
      <c r="G453" s="4"/>
      <c r="H453" s="4" t="str">
        <f aca="false">IFERROR(__xludf.dummyfunction("""COMPUTED_VALUE"""),"suggestion::refactoring::(change::type::method)")</f>
        <v>suggestion::refactoring::(change::type::method)</v>
      </c>
    </row>
    <row r="454" customFormat="false" ht="15.75" hidden="false" customHeight="false" outlineLevel="0" collapsed="false">
      <c r="A454" s="3" t="s">
        <v>2222</v>
      </c>
      <c r="B454" s="3" t="str">
        <f aca="false">IF(COUNTIF(Final_CB_R8_V5!$B$8:$B$20345,A454)&gt;=1,"YES","NO")</f>
        <v>YES</v>
      </c>
      <c r="C454" s="3" t="s">
        <v>2223</v>
      </c>
      <c r="D454" s="3" t="str">
        <f aca="false">IF(COUNTIF(Final_CB_R8_V5!$C$8:$C$2345,C454)&gt;=1,"YES","NO")</f>
        <v>YES</v>
      </c>
      <c r="G454" s="4"/>
      <c r="H454" s="4" t="str">
        <f aca="false">IFERROR(__xludf.dummyfunction("""COMPUTED_VALUE"""),"suggestion::refactoring::(change::used::class)")</f>
        <v>suggestion::refactoring::(change::used::class)</v>
      </c>
    </row>
    <row r="455" customFormat="false" ht="15.75" hidden="false" customHeight="false" outlineLevel="0" collapsed="false">
      <c r="A455" s="3" t="s">
        <v>2224</v>
      </c>
      <c r="B455" s="3" t="str">
        <f aca="false">IF(COUNTIF(Final_CB_R8_V5!$B$8:$B$20345,A455)&gt;=1,"YES","NO")</f>
        <v>YES</v>
      </c>
      <c r="C455" s="3" t="s">
        <v>2225</v>
      </c>
      <c r="D455" s="3" t="str">
        <f aca="false">IF(COUNTIF(Final_CB_R8_V5!$C$8:$C$2345,C455)&gt;=1,"YES","NO")</f>
        <v>YES</v>
      </c>
      <c r="G455" s="4"/>
      <c r="H455" s="4" t="str">
        <f aca="false">IFERROR(__xludf.dummyfunction("""COMPUTED_VALUE"""),"suggestion::refactoring::(change::wrapper)")</f>
        <v>suggestion::refactoring::(change::wrapper)</v>
      </c>
    </row>
    <row r="456" customFormat="false" ht="15.75" hidden="false" customHeight="false" outlineLevel="0" collapsed="false">
      <c r="A456" s="3" t="s">
        <v>2226</v>
      </c>
      <c r="B456" s="3" t="str">
        <f aca="false">IF(COUNTIF(Final_CB_R8_V5!$B$8:$B$20345,A456)&gt;=1,"YES","NO")</f>
        <v>YES</v>
      </c>
      <c r="C456" s="3" t="s">
        <v>2227</v>
      </c>
      <c r="D456" s="3" t="str">
        <f aca="false">IF(COUNTIF(Final_CB_R8_V5!$C$8:$C$2345,C456)&gt;=1,"YES","NO")</f>
        <v>YES</v>
      </c>
      <c r="G456" s="4"/>
      <c r="H456" s="4" t="str">
        <f aca="false">IFERROR(__xludf.dummyfunction("""COMPUTED_VALUE"""),"suggestion::refactoring::(comparison::operators)")</f>
        <v>suggestion::refactoring::(comparison::operators)</v>
      </c>
    </row>
    <row r="457" customFormat="false" ht="15.75" hidden="false" customHeight="false" outlineLevel="0" collapsed="false">
      <c r="A457" s="3" t="s">
        <v>2228</v>
      </c>
      <c r="B457" s="3" t="str">
        <f aca="false">IF(COUNTIF(Final_CB_R8_V5!$B$8:$B$20345,A457)&gt;=1,"YES","NO")</f>
        <v>YES</v>
      </c>
      <c r="C457" s="3" t="s">
        <v>2229</v>
      </c>
      <c r="D457" s="3" t="str">
        <f aca="false">IF(COUNTIF(Final_CB_R8_V5!$C$8:$C$2345,C457)&gt;=1,"YES","NO")</f>
        <v>YES</v>
      </c>
      <c r="G457" s="4"/>
      <c r="H457" s="4" t="str">
        <f aca="false">IFERROR(__xludf.dummyfunction("""COMPUTED_VALUE"""),"suggestion::refactoring::(conditional::with::exception)")</f>
        <v>suggestion::refactoring::(conditional::with::exception)</v>
      </c>
    </row>
    <row r="458" customFormat="false" ht="15.75" hidden="false" customHeight="false" outlineLevel="0" collapsed="false">
      <c r="A458" s="3" t="s">
        <v>2230</v>
      </c>
      <c r="B458" s="3" t="str">
        <f aca="false">IF(COUNTIF(Final_CB_R8_V5!$B$8:$B$20345,A458)&gt;=1,"YES","NO")</f>
        <v>YES</v>
      </c>
      <c r="C458" s="3" t="s">
        <v>2231</v>
      </c>
      <c r="D458" s="3" t="str">
        <f aca="false">IF(COUNTIF(Final_CB_R8_V5!$C$8:$C$2345,C458)&gt;=1,"YES","NO")</f>
        <v>YES</v>
      </c>
      <c r="G458" s="4"/>
      <c r="H458" s="4" t="str">
        <f aca="false">IFERROR(__xludf.dummyfunction("""COMPUTED_VALUE"""),"suggestion::refactoring::(conditional::with::interface)")</f>
        <v>suggestion::refactoring::(conditional::with::interface)</v>
      </c>
    </row>
    <row r="459" customFormat="false" ht="15.75" hidden="false" customHeight="false" outlineLevel="0" collapsed="false">
      <c r="A459" s="3" t="s">
        <v>2232</v>
      </c>
      <c r="B459" s="3" t="str">
        <f aca="false">IF(COUNTIF(Final_CB_R8_V5!$B$8:$B$20345,A459)&gt;=1,"YES","NO")</f>
        <v>YES</v>
      </c>
      <c r="C459" s="3" t="s">
        <v>2233</v>
      </c>
      <c r="D459" s="3" t="str">
        <f aca="false">IF(COUNTIF(Final_CB_R8_V5!$C$8:$C$2345,C459)&gt;=1,"YES","NO")</f>
        <v>YES</v>
      </c>
      <c r="G459" s="4"/>
      <c r="H459" s="4" t="str">
        <f aca="false">IFERROR(__xludf.dummyfunction("""COMPUTED_VALUE"""),"suggestion::refactoring::(conditional::with::return)")</f>
        <v>suggestion::refactoring::(conditional::with::return)</v>
      </c>
    </row>
    <row r="460" customFormat="false" ht="15.75" hidden="false" customHeight="false" outlineLevel="0" collapsed="false">
      <c r="A460" s="3" t="s">
        <v>2234</v>
      </c>
      <c r="B460" s="3" t="str">
        <f aca="false">IF(COUNTIF(Final_CB_R8_V5!$B$8:$B$20345,A460)&gt;=1,"YES","NO")</f>
        <v>YES</v>
      </c>
      <c r="C460" s="3" t="s">
        <v>2235</v>
      </c>
      <c r="D460" s="3" t="str">
        <f aca="false">IF(COUNTIF(Final_CB_R8_V5!$C$8:$C$2345,C460)&gt;=1,"YES","NO")</f>
        <v>YES</v>
      </c>
      <c r="G460" s="4"/>
      <c r="H460" s="4" t="str">
        <f aca="false">IFERROR(__xludf.dummyfunction("""COMPUTED_VALUE"""),"suggestion::refactoring::(consistency::docstring)")</f>
        <v>suggestion::refactoring::(consistency::docstring)</v>
      </c>
    </row>
    <row r="461" customFormat="false" ht="15.75" hidden="false" customHeight="false" outlineLevel="0" collapsed="false">
      <c r="A461" s="3" t="s">
        <v>2236</v>
      </c>
      <c r="B461" s="3" t="str">
        <f aca="false">IF(COUNTIF(Final_CB_R8_V5!$B$8:$B$20345,A461)&gt;=1,"YES","NO")</f>
        <v>YES</v>
      </c>
      <c r="C461" s="3" t="s">
        <v>2237</v>
      </c>
      <c r="D461" s="3" t="str">
        <f aca="false">IF(COUNTIF(Final_CB_R8_V5!$C$8:$C$2345,C461)&gt;=1,"YES","NO")</f>
        <v>YES</v>
      </c>
      <c r="G461" s="4"/>
      <c r="H461" s="4" t="str">
        <f aca="false">IFERROR(__xludf.dummyfunction("""COMPUTED_VALUE"""),"suggestion::refactoring::(encription::type)")</f>
        <v>suggestion::refactoring::(encription::type)</v>
      </c>
    </row>
    <row r="462" customFormat="false" ht="15.75" hidden="false" customHeight="false" outlineLevel="0" collapsed="false">
      <c r="A462" s="3" t="s">
        <v>2238</v>
      </c>
      <c r="B462" s="3" t="str">
        <f aca="false">IF(COUNTIF(Final_CB_R8_V5!$B$8:$B$20345,A462)&gt;=1,"YES","NO")</f>
        <v>YES</v>
      </c>
      <c r="C462" s="3" t="s">
        <v>2239</v>
      </c>
      <c r="D462" s="3" t="str">
        <f aca="false">IF(COUNTIF(Final_CB_R8_V5!$C$8:$C$2345,C462)&gt;=1,"YES","NO")</f>
        <v>YES</v>
      </c>
      <c r="G462" s="4"/>
      <c r="H462" s="4" t="str">
        <f aca="false">IFERROR(__xludf.dummyfunction("""COMPUTED_VALUE"""),"suggestion::refactoring::(extensibility::code)")</f>
        <v>suggestion::refactoring::(extensibility::code)</v>
      </c>
    </row>
    <row r="463" customFormat="false" ht="15.75" hidden="false" customHeight="false" outlineLevel="0" collapsed="false">
      <c r="A463" s="3" t="s">
        <v>2240</v>
      </c>
      <c r="B463" s="3" t="str">
        <f aca="false">IF(COUNTIF(Final_CB_R8_V5!$B$8:$B$20345,A463)&gt;=1,"YES","NO")</f>
        <v>YES</v>
      </c>
      <c r="C463" s="3" t="s">
        <v>2241</v>
      </c>
      <c r="D463" s="3" t="str">
        <f aca="false">IF(COUNTIF(Final_CB_R8_V5!$C$8:$C$2345,C463)&gt;=1,"YES","NO")</f>
        <v>YES</v>
      </c>
      <c r="G463" s="4"/>
      <c r="H463" s="4" t="str">
        <f aca="false">IFERROR(__xludf.dummyfunction("""COMPUTED_VALUE"""),"suggestion::refactoring::(extract::method)")</f>
        <v>suggestion::refactoring::(extract::method)</v>
      </c>
    </row>
    <row r="464" customFormat="false" ht="15.75" hidden="false" customHeight="false" outlineLevel="0" collapsed="false">
      <c r="A464" s="3" t="s">
        <v>2242</v>
      </c>
      <c r="B464" s="3" t="str">
        <f aca="false">IF(COUNTIF(Final_CB_R8_V5!$B$8:$B$20345,A464)&gt;=1,"YES","NO")</f>
        <v>YES</v>
      </c>
      <c r="C464" s="3" t="s">
        <v>2243</v>
      </c>
      <c r="D464" s="3" t="str">
        <f aca="false">IF(COUNTIF(Final_CB_R8_V5!$C$8:$C$2345,C464)&gt;=1,"YES","NO")</f>
        <v>YES</v>
      </c>
    </row>
    <row r="465" customFormat="false" ht="15.75" hidden="false" customHeight="false" outlineLevel="0" collapsed="false">
      <c r="A465" s="3" t="s">
        <v>2244</v>
      </c>
      <c r="B465" s="3" t="str">
        <f aca="false">IF(COUNTIF(Final_CB_R8_V5!$B$8:$B$20345,A465)&gt;=1,"YES","NO")</f>
        <v>YES</v>
      </c>
      <c r="C465" s="3" t="s">
        <v>2245</v>
      </c>
      <c r="D465" s="3" t="str">
        <f aca="false">IF(COUNTIF(Final_CB_R8_V5!$C$8:$C$2345,C465)&gt;=1,"YES","NO")</f>
        <v>YES</v>
      </c>
    </row>
    <row r="466" customFormat="false" ht="15.75" hidden="false" customHeight="false" outlineLevel="0" collapsed="false">
      <c r="A466" s="3" t="s">
        <v>2246</v>
      </c>
      <c r="B466" s="3" t="str">
        <f aca="false">IF(COUNTIF(Final_CB_R8_V5!$B$8:$B$20345,A466)&gt;=1,"YES","NO")</f>
        <v>YES</v>
      </c>
      <c r="C466" s="3" t="s">
        <v>2247</v>
      </c>
      <c r="D466" s="3" t="str">
        <f aca="false">IF(COUNTIF(Final_CB_R8_V5!$C$8:$C$2345,C466)&gt;=1,"YES","NO")</f>
        <v>YES</v>
      </c>
    </row>
    <row r="467" customFormat="false" ht="15.75" hidden="false" customHeight="false" outlineLevel="0" collapsed="false">
      <c r="A467" s="3" t="s">
        <v>2248</v>
      </c>
      <c r="B467" s="3" t="str">
        <f aca="false">IF(COUNTIF(Final_CB_R8_V5!$B$8:$B$20345,A467)&gt;=1,"YES","NO")</f>
        <v>YES</v>
      </c>
      <c r="C467" s="3" t="s">
        <v>2249</v>
      </c>
      <c r="D467" s="3" t="str">
        <f aca="false">IF(COUNTIF(Final_CB_R8_V5!$C$8:$C$2345,C467)&gt;=1,"YES","NO")</f>
        <v>YES</v>
      </c>
    </row>
    <row r="468" customFormat="false" ht="15.75" hidden="false" customHeight="false" outlineLevel="0" collapsed="false">
      <c r="A468" s="3" t="s">
        <v>2250</v>
      </c>
      <c r="B468" s="3" t="str">
        <f aca="false">IF(COUNTIF(Final_CB_R8_V5!$B$8:$B$20345,A468)&gt;=1,"YES","NO")</f>
        <v>YES</v>
      </c>
      <c r="C468" s="3" t="s">
        <v>2251</v>
      </c>
      <c r="D468" s="3" t="str">
        <f aca="false">IF(COUNTIF(Final_CB_R8_V5!$C$8:$C$2345,C468)&gt;=1,"YES","NO")</f>
        <v>YES</v>
      </c>
    </row>
    <row r="469" customFormat="false" ht="15.75" hidden="false" customHeight="false" outlineLevel="0" collapsed="false">
      <c r="A469" s="3" t="s">
        <v>2252</v>
      </c>
      <c r="B469" s="3" t="str">
        <f aca="false">IF(COUNTIF(Final_CB_R8_V5!$B$8:$B$20345,A469)&gt;=1,"YES","NO")</f>
        <v>YES</v>
      </c>
      <c r="C469" s="3" t="s">
        <v>2253</v>
      </c>
      <c r="D469" s="3" t="str">
        <f aca="false">IF(COUNTIF(Final_CB_R8_V5!$C$8:$C$2345,C469)&gt;=1,"YES","NO")</f>
        <v>YES</v>
      </c>
    </row>
    <row r="470" customFormat="false" ht="15.75" hidden="false" customHeight="false" outlineLevel="0" collapsed="false">
      <c r="A470" s="3" t="s">
        <v>2254</v>
      </c>
      <c r="B470" s="3" t="str">
        <f aca="false">IF(COUNTIF(Final_CB_R8_V5!$B$8:$B$20345,A470)&gt;=1,"YES","NO")</f>
        <v>YES</v>
      </c>
      <c r="C470" s="3" t="s">
        <v>2255</v>
      </c>
      <c r="D470" s="3" t="str">
        <f aca="false">IF(COUNTIF(Final_CB_R8_V5!$C$8:$C$2345,C470)&gt;=1,"YES","NO")</f>
        <v>YES</v>
      </c>
    </row>
    <row r="471" customFormat="false" ht="15.75" hidden="false" customHeight="false" outlineLevel="0" collapsed="false">
      <c r="A471" s="3" t="s">
        <v>2256</v>
      </c>
      <c r="B471" s="3" t="str">
        <f aca="false">IF(COUNTIF(Final_CB_R8_V5!$B$8:$B$20345,A471)&gt;=1,"YES","NO")</f>
        <v>YES</v>
      </c>
      <c r="C471" s="3" t="s">
        <v>2257</v>
      </c>
      <c r="D471" s="3" t="str">
        <f aca="false">IF(COUNTIF(Final_CB_R8_V5!$C$8:$C$2345,C471)&gt;=1,"YES","NO")</f>
        <v>YES</v>
      </c>
    </row>
    <row r="472" customFormat="false" ht="15.75" hidden="false" customHeight="false" outlineLevel="0" collapsed="false">
      <c r="A472" s="3" t="s">
        <v>2258</v>
      </c>
      <c r="B472" s="3" t="str">
        <f aca="false">IF(COUNTIF(Final_CB_R8_V5!$B$8:$B$20345,A472)&gt;=1,"YES","NO")</f>
        <v>YES</v>
      </c>
      <c r="C472" s="3" t="s">
        <v>2259</v>
      </c>
      <c r="D472" s="3" t="str">
        <f aca="false">IF(COUNTIF(Final_CB_R8_V5!$C$8:$C$2345,C472)&gt;=1,"YES","NO")</f>
        <v>YES</v>
      </c>
    </row>
    <row r="473" customFormat="false" ht="15.75" hidden="false" customHeight="false" outlineLevel="0" collapsed="false">
      <c r="A473" s="3" t="s">
        <v>2260</v>
      </c>
      <c r="B473" s="3" t="str">
        <f aca="false">IF(COUNTIF(Final_CB_R8_V5!$B$8:$B$20345,A473)&gt;=1,"YES","NO")</f>
        <v>YES</v>
      </c>
      <c r="C473" s="3" t="s">
        <v>2261</v>
      </c>
      <c r="D473" s="3" t="str">
        <f aca="false">IF(COUNTIF(Final_CB_R8_V5!$C$8:$C$2345,C473)&gt;=1,"YES","NO")</f>
        <v>YES</v>
      </c>
    </row>
    <row r="474" customFormat="false" ht="15.75" hidden="false" customHeight="false" outlineLevel="0" collapsed="false">
      <c r="A474" s="3" t="s">
        <v>2262</v>
      </c>
      <c r="B474" s="3" t="str">
        <f aca="false">IF(COUNTIF(Final_CB_R8_V5!$B$8:$B$20345,A474)&gt;=1,"YES","NO")</f>
        <v>YES</v>
      </c>
      <c r="C474" s="3" t="s">
        <v>2263</v>
      </c>
      <c r="D474" s="3" t="str">
        <f aca="false">IF(COUNTIF(Final_CB_R8_V5!$C$8:$C$2345,C474)&gt;=1,"YES","NO")</f>
        <v>YES</v>
      </c>
    </row>
    <row r="475" customFormat="false" ht="15.75" hidden="false" customHeight="false" outlineLevel="0" collapsed="false">
      <c r="A475" s="3" t="s">
        <v>2264</v>
      </c>
      <c r="B475" s="3" t="str">
        <f aca="false">IF(COUNTIF(Final_CB_R8_V5!$B$8:$B$20345,A475)&gt;=1,"YES","NO")</f>
        <v>YES</v>
      </c>
      <c r="C475" s="3" t="s">
        <v>2265</v>
      </c>
      <c r="D475" s="3" t="str">
        <f aca="false">IF(COUNTIF(Final_CB_R8_V5!$C$8:$C$2345,C475)&gt;=1,"YES","NO")</f>
        <v>YES</v>
      </c>
    </row>
    <row r="476" customFormat="false" ht="15.75" hidden="false" customHeight="false" outlineLevel="0" collapsed="false">
      <c r="A476" s="3" t="s">
        <v>2266</v>
      </c>
      <c r="B476" s="3" t="str">
        <f aca="false">IF(COUNTIF(Final_CB_R8_V5!$B$8:$B$20345,A476)&gt;=1,"YES","NO")</f>
        <v>YES</v>
      </c>
      <c r="C476" s="3" t="s">
        <v>2267</v>
      </c>
      <c r="D476" s="3" t="str">
        <f aca="false">IF(COUNTIF(Final_CB_R8_V5!$C$8:$C$2345,C476)&gt;=1,"YES","NO")</f>
        <v>YES</v>
      </c>
    </row>
    <row r="477" customFormat="false" ht="15.75" hidden="false" customHeight="false" outlineLevel="0" collapsed="false">
      <c r="A477" s="3" t="s">
        <v>2268</v>
      </c>
      <c r="B477" s="3" t="str">
        <f aca="false">IF(COUNTIF(Final_CB_R8_V5!$B$8:$B$20345,A477)&gt;=1,"YES","NO")</f>
        <v>YES</v>
      </c>
      <c r="C477" s="3" t="s">
        <v>2269</v>
      </c>
      <c r="D477" s="3" t="str">
        <f aca="false">IF(COUNTIF(Final_CB_R8_V5!$C$8:$C$2345,C477)&gt;=1,"YES","NO")</f>
        <v>YES</v>
      </c>
    </row>
    <row r="478" customFormat="false" ht="15.75" hidden="false" customHeight="false" outlineLevel="0" collapsed="false">
      <c r="A478" s="3" t="s">
        <v>2270</v>
      </c>
      <c r="B478" s="3" t="str">
        <f aca="false">IF(COUNTIF(Final_CB_R8_V5!$B$8:$B$20345,A478)&gt;=1,"YES","NO")</f>
        <v>YES</v>
      </c>
      <c r="C478" s="3" t="s">
        <v>2271</v>
      </c>
      <c r="D478" s="3" t="str">
        <f aca="false">IF(COUNTIF(Final_CB_R8_V5!$C$8:$C$2345,C478)&gt;=1,"YES","NO")</f>
        <v>YES</v>
      </c>
    </row>
    <row r="479" customFormat="false" ht="15.75" hidden="false" customHeight="false" outlineLevel="0" collapsed="false">
      <c r="A479" s="3" t="s">
        <v>2272</v>
      </c>
      <c r="B479" s="3" t="str">
        <f aca="false">IF(COUNTIF(Final_CB_R8_V5!$B$8:$B$20345,A479)&gt;=1,"YES","NO")</f>
        <v>YES</v>
      </c>
      <c r="C479" s="3" t="s">
        <v>2273</v>
      </c>
      <c r="D479" s="3" t="str">
        <f aca="false">IF(COUNTIF(Final_CB_R8_V5!$C$8:$C$2345,C479)&gt;=1,"YES","NO")</f>
        <v>YES</v>
      </c>
    </row>
    <row r="480" customFormat="false" ht="15.75" hidden="false" customHeight="false" outlineLevel="0" collapsed="false">
      <c r="A480" s="3" t="s">
        <v>2274</v>
      </c>
      <c r="B480" s="3" t="str">
        <f aca="false">IF(COUNTIF(Final_CB_R8_V5!$B$8:$B$20345,A480)&gt;=1,"YES","NO")</f>
        <v>YES</v>
      </c>
      <c r="C480" s="3" t="s">
        <v>2275</v>
      </c>
      <c r="D480" s="3" t="str">
        <f aca="false">IF(COUNTIF(Final_CB_R8_V5!$C$8:$C$2345,C480)&gt;=1,"YES","NO")</f>
        <v>YES</v>
      </c>
    </row>
    <row r="481" customFormat="false" ht="15.75" hidden="false" customHeight="false" outlineLevel="0" collapsed="false">
      <c r="A481" s="3" t="s">
        <v>2276</v>
      </c>
      <c r="B481" s="3" t="str">
        <f aca="false">IF(COUNTIF(Final_CB_R8_V5!$B$8:$B$20345,A481)&gt;=1,"YES","NO")</f>
        <v>YES</v>
      </c>
      <c r="C481" s="3" t="s">
        <v>2277</v>
      </c>
      <c r="D481" s="3" t="str">
        <f aca="false">IF(COUNTIF(Final_CB_R8_V5!$C$8:$C$2345,C481)&gt;=1,"YES","NO")</f>
        <v>YES</v>
      </c>
    </row>
    <row r="482" customFormat="false" ht="15.75" hidden="false" customHeight="false" outlineLevel="0" collapsed="false">
      <c r="A482" s="3" t="s">
        <v>2278</v>
      </c>
      <c r="B482" s="3" t="str">
        <f aca="false">IF(COUNTIF(Final_CB_R8_V5!$B$8:$B$20345,A482)&gt;=1,"YES","NO")</f>
        <v>YES</v>
      </c>
      <c r="C482" s="3" t="s">
        <v>2279</v>
      </c>
      <c r="D482" s="3" t="str">
        <f aca="false">IF(COUNTIF(Final_CB_R8_V5!$C$8:$C$2345,C482)&gt;=1,"YES","NO")</f>
        <v>YES</v>
      </c>
    </row>
    <row r="483" customFormat="false" ht="15.75" hidden="false" customHeight="false" outlineLevel="0" collapsed="false">
      <c r="A483" s="3" t="s">
        <v>2280</v>
      </c>
      <c r="B483" s="3" t="str">
        <f aca="false">IF(COUNTIF(Final_CB_R8_V5!$B$8:$B$20345,A483)&gt;=1,"YES","NO")</f>
        <v>YES</v>
      </c>
      <c r="C483" s="3" t="s">
        <v>2281</v>
      </c>
      <c r="D483" s="3" t="str">
        <f aca="false">IF(COUNTIF(Final_CB_R8_V5!$C$8:$C$2345,C483)&gt;=1,"YES","NO")</f>
        <v>YES</v>
      </c>
    </row>
    <row r="484" customFormat="false" ht="15.75" hidden="false" customHeight="false" outlineLevel="0" collapsed="false">
      <c r="A484" s="3" t="s">
        <v>2282</v>
      </c>
      <c r="B484" s="3" t="str">
        <f aca="false">IF(COUNTIF(Final_CB_R8_V5!$B$8:$B$20345,A484)&gt;=1,"YES","NO")</f>
        <v>YES</v>
      </c>
      <c r="C484" s="3" t="s">
        <v>2283</v>
      </c>
      <c r="D484" s="3" t="str">
        <f aca="false">IF(COUNTIF(Final_CB_R8_V5!$C$8:$C$2345,C484)&gt;=1,"YES","NO")</f>
        <v>YES</v>
      </c>
    </row>
    <row r="485" customFormat="false" ht="15.75" hidden="false" customHeight="false" outlineLevel="0" collapsed="false">
      <c r="A485" s="3" t="s">
        <v>2284</v>
      </c>
      <c r="B485" s="3" t="str">
        <f aca="false">IF(COUNTIF(Final_CB_R8_V5!$B$8:$B$20345,A485)&gt;=1,"YES","NO")</f>
        <v>YES</v>
      </c>
      <c r="C485" s="3" t="s">
        <v>2285</v>
      </c>
      <c r="D485" s="3" t="str">
        <f aca="false">IF(COUNTIF(Final_CB_R8_V5!$C$8:$C$2345,C485)&gt;=1,"YES","NO")</f>
        <v>YES</v>
      </c>
    </row>
    <row r="486" customFormat="false" ht="15.75" hidden="false" customHeight="false" outlineLevel="0" collapsed="false">
      <c r="A486" s="3" t="s">
        <v>2286</v>
      </c>
      <c r="B486" s="3" t="str">
        <f aca="false">IF(COUNTIF(Final_CB_R8_V5!$B$8:$B$20345,A486)&gt;=1,"YES","NO")</f>
        <v>YES</v>
      </c>
      <c r="C486" s="3" t="s">
        <v>2287</v>
      </c>
      <c r="D486" s="3" t="str">
        <f aca="false">IF(COUNTIF(Final_CB_R8_V5!$C$8:$C$2345,C486)&gt;=1,"YES","NO")</f>
        <v>YES</v>
      </c>
    </row>
    <row r="487" customFormat="false" ht="15.75" hidden="false" customHeight="false" outlineLevel="0" collapsed="false">
      <c r="A487" s="3" t="s">
        <v>2288</v>
      </c>
      <c r="B487" s="3" t="str">
        <f aca="false">IF(COUNTIF(Final_CB_R8_V5!$B$8:$B$20345,A487)&gt;=1,"YES","NO")</f>
        <v>YES</v>
      </c>
      <c r="C487" s="3" t="s">
        <v>2289</v>
      </c>
      <c r="D487" s="3" t="str">
        <f aca="false">IF(COUNTIF(Final_CB_R8_V5!$C$8:$C$2345,C487)&gt;=1,"YES","NO")</f>
        <v>YES</v>
      </c>
    </row>
    <row r="488" customFormat="false" ht="15.75" hidden="false" customHeight="false" outlineLevel="0" collapsed="false">
      <c r="A488" s="3" t="s">
        <v>2290</v>
      </c>
      <c r="B488" s="3" t="str">
        <f aca="false">IF(COUNTIF(Final_CB_R8_V5!$B$8:$B$20345,A488)&gt;=1,"YES","NO")</f>
        <v>YES</v>
      </c>
      <c r="C488" s="3" t="s">
        <v>2291</v>
      </c>
      <c r="D488" s="3" t="str">
        <f aca="false">IF(COUNTIF(Final_CB_R8_V5!$C$8:$C$2345,C488)&gt;=1,"YES","NO")</f>
        <v>YES</v>
      </c>
    </row>
    <row r="489" customFormat="false" ht="15.75" hidden="false" customHeight="false" outlineLevel="0" collapsed="false">
      <c r="A489" s="3" t="s">
        <v>2292</v>
      </c>
      <c r="B489" s="3" t="str">
        <f aca="false">IF(COUNTIF(Final_CB_R8_V5!$B$8:$B$20345,A489)&gt;=1,"YES","NO")</f>
        <v>YES</v>
      </c>
      <c r="C489" s="3" t="s">
        <v>2293</v>
      </c>
      <c r="D489" s="3" t="str">
        <f aca="false">IF(COUNTIF(Final_CB_R8_V5!$C$8:$C$2345,C489)&gt;=1,"YES","NO")</f>
        <v>YES</v>
      </c>
    </row>
    <row r="490" customFormat="false" ht="15.75" hidden="false" customHeight="false" outlineLevel="0" collapsed="false">
      <c r="A490" s="3" t="s">
        <v>2294</v>
      </c>
      <c r="B490" s="3" t="str">
        <f aca="false">IF(COUNTIF(Final_CB_R8_V5!$B$8:$B$20345,A490)&gt;=1,"YES","NO")</f>
        <v>YES</v>
      </c>
      <c r="C490" s="3" t="s">
        <v>2295</v>
      </c>
      <c r="D490" s="3" t="str">
        <f aca="false">IF(COUNTIF(Final_CB_R8_V5!$C$8:$C$2345,C490)&gt;=1,"YES","NO")</f>
        <v>YES</v>
      </c>
    </row>
    <row r="491" customFormat="false" ht="15.75" hidden="false" customHeight="false" outlineLevel="0" collapsed="false">
      <c r="A491" s="3" t="s">
        <v>2296</v>
      </c>
      <c r="B491" s="3" t="str">
        <f aca="false">IF(COUNTIF(Final_CB_R8_V5!$B$8:$B$20345,A491)&gt;=1,"YES","NO")</f>
        <v>YES</v>
      </c>
      <c r="C491" s="3" t="s">
        <v>2297</v>
      </c>
      <c r="D491" s="3" t="str">
        <f aca="false">IF(COUNTIF(Final_CB_R8_V5!$C$8:$C$2345,C491)&gt;=1,"YES","NO")</f>
        <v>YES</v>
      </c>
    </row>
    <row r="492" customFormat="false" ht="15.75" hidden="false" customHeight="false" outlineLevel="0" collapsed="false">
      <c r="A492" s="3" t="s">
        <v>2298</v>
      </c>
      <c r="B492" s="3" t="str">
        <f aca="false">IF(COUNTIF(Final_CB_R8_V5!$B$8:$B$20345,A492)&gt;=1,"YES","NO")</f>
        <v>YES</v>
      </c>
      <c r="C492" s="3" t="s">
        <v>2196</v>
      </c>
      <c r="D492" s="3" t="str">
        <f aca="false">IF(COUNTIF(Final_CB_R8_V5!$C$8:$C$2345,C492)&gt;=1,"YES","NO")</f>
        <v>YES</v>
      </c>
    </row>
    <row r="493" customFormat="false" ht="15.75" hidden="false" customHeight="false" outlineLevel="0" collapsed="false">
      <c r="A493" s="3" t="s">
        <v>2299</v>
      </c>
      <c r="B493" s="3" t="str">
        <f aca="false">IF(COUNTIF(Final_CB_R8_V5!$B$8:$B$20345,A493)&gt;=1,"YES","NO")</f>
        <v>YES</v>
      </c>
      <c r="C493" s="3" t="s">
        <v>2300</v>
      </c>
      <c r="D493" s="3" t="str">
        <f aca="false">IF(COUNTIF(Final_CB_R8_V5!$C$8:$C$2345,C493)&gt;=1,"YES","NO")</f>
        <v>YES</v>
      </c>
    </row>
    <row r="494" customFormat="false" ht="15.75" hidden="false" customHeight="false" outlineLevel="0" collapsed="false">
      <c r="A494" s="3" t="s">
        <v>2301</v>
      </c>
      <c r="B494" s="3" t="str">
        <f aca="false">IF(COUNTIF(Final_CB_R8_V5!$B$8:$B$20345,A494)&gt;=1,"YES","NO")</f>
        <v>YES</v>
      </c>
      <c r="C494" s="3" t="s">
        <v>2302</v>
      </c>
      <c r="D494" s="3" t="str">
        <f aca="false">IF(COUNTIF(Final_CB_R8_V5!$C$8:$C$2345,C494)&gt;=1,"YES","NO")</f>
        <v>YES</v>
      </c>
    </row>
    <row r="495" customFormat="false" ht="15.75" hidden="false" customHeight="false" outlineLevel="0" collapsed="false">
      <c r="A495" s="3" t="s">
        <v>2303</v>
      </c>
      <c r="B495" s="3" t="str">
        <f aca="false">IF(COUNTIF(Final_CB_R8_V5!$B$8:$B$20345,A495)&gt;=1,"YES","NO")</f>
        <v>YES</v>
      </c>
      <c r="C495" s="3" t="s">
        <v>2304</v>
      </c>
      <c r="D495" s="3" t="str">
        <f aca="false">IF(COUNTIF(Final_CB_R8_V5!$C$8:$C$2345,C495)&gt;=1,"YES","NO")</f>
        <v>YES</v>
      </c>
    </row>
    <row r="496" customFormat="false" ht="15.75" hidden="false" customHeight="false" outlineLevel="0" collapsed="false">
      <c r="A496" s="3" t="s">
        <v>2305</v>
      </c>
      <c r="B496" s="3" t="str">
        <f aca="false">IF(COUNTIF(Final_CB_R8_V5!$B$8:$B$20345,A496)&gt;=1,"YES","NO")</f>
        <v>YES</v>
      </c>
      <c r="C496" s="3" t="s">
        <v>2306</v>
      </c>
      <c r="D496" s="3" t="str">
        <f aca="false">IF(COUNTIF(Final_CB_R8_V5!$C$8:$C$2345,C496)&gt;=1,"YES","NO")</f>
        <v>YES</v>
      </c>
    </row>
    <row r="497" customFormat="false" ht="15.75" hidden="false" customHeight="false" outlineLevel="0" collapsed="false">
      <c r="A497" s="3" t="s">
        <v>2307</v>
      </c>
      <c r="B497" s="3" t="str">
        <f aca="false">IF(COUNTIF(Final_CB_R8_V5!$B$8:$B$20345,A497)&gt;=1,"YES","NO")</f>
        <v>YES</v>
      </c>
      <c r="C497" s="3" t="s">
        <v>2206</v>
      </c>
      <c r="D497" s="3" t="str">
        <f aca="false">IF(COUNTIF(Final_CB_R8_V5!$C$8:$C$2345,C497)&gt;=1,"YES","NO")</f>
        <v>YES</v>
      </c>
    </row>
    <row r="498" customFormat="false" ht="15.75" hidden="false" customHeight="false" outlineLevel="0" collapsed="false">
      <c r="A498" s="3" t="s">
        <v>2308</v>
      </c>
      <c r="B498" s="3" t="str">
        <f aca="false">IF(COUNTIF(Final_CB_R8_V5!$B$8:$B$20345,A498)&gt;=1,"YES","NO")</f>
        <v>YES</v>
      </c>
      <c r="C498" s="3" t="s">
        <v>2208</v>
      </c>
      <c r="D498" s="3" t="str">
        <f aca="false">IF(COUNTIF(Final_CB_R8_V5!$C$8:$C$2345,C498)&gt;=1,"YES","NO")</f>
        <v>YES</v>
      </c>
    </row>
    <row r="499" customFormat="false" ht="15.75" hidden="false" customHeight="false" outlineLevel="0" collapsed="false">
      <c r="A499" s="3" t="s">
        <v>2309</v>
      </c>
      <c r="B499" s="3" t="str">
        <f aca="false">IF(COUNTIF(Final_CB_R8_V5!$B$8:$B$20345,A499)&gt;=1,"YES","NO")</f>
        <v>YES</v>
      </c>
      <c r="C499" s="3" t="s">
        <v>2310</v>
      </c>
      <c r="D499" s="3" t="str">
        <f aca="false">IF(COUNTIF(Final_CB_R8_V5!$C$8:$C$2345,C499)&gt;=1,"YES","NO")</f>
        <v>YES</v>
      </c>
    </row>
    <row r="500" customFormat="false" ht="15.75" hidden="false" customHeight="false" outlineLevel="0" collapsed="false">
      <c r="A500" s="3" t="s">
        <v>2311</v>
      </c>
      <c r="B500" s="3" t="str">
        <f aca="false">IF(COUNTIF(Final_CB_R8_V5!$B$8:$B$20345,A500)&gt;=1,"YES","NO")</f>
        <v>YES</v>
      </c>
      <c r="C500" s="3" t="s">
        <v>2218</v>
      </c>
      <c r="D500" s="3" t="str">
        <f aca="false">IF(COUNTIF(Final_CB_R8_V5!$C$8:$C$2345,C500)&gt;=1,"YES","NO")</f>
        <v>YES</v>
      </c>
    </row>
    <row r="501" customFormat="false" ht="15.75" hidden="false" customHeight="false" outlineLevel="0" collapsed="false">
      <c r="A501" s="3" t="s">
        <v>2312</v>
      </c>
      <c r="B501" s="3" t="str">
        <f aca="false">IF(COUNTIF(Final_CB_R8_V5!$B$8:$B$20345,A501)&gt;=1,"YES","NO")</f>
        <v>YES</v>
      </c>
      <c r="C501" s="3" t="s">
        <v>2220</v>
      </c>
      <c r="D501" s="3" t="str">
        <f aca="false">IF(COUNTIF(Final_CB_R8_V5!$C$8:$C$2345,C501)&gt;=1,"YES","NO")</f>
        <v>YES</v>
      </c>
    </row>
    <row r="502" customFormat="false" ht="15.75" hidden="false" customHeight="false" outlineLevel="0" collapsed="false">
      <c r="A502" s="3" t="s">
        <v>2313</v>
      </c>
      <c r="B502" s="3" t="str">
        <f aca="false">IF(COUNTIF(Final_CB_R8_V5!$B$8:$B$20345,A502)&gt;=1,"YES","NO")</f>
        <v>YES</v>
      </c>
      <c r="C502" s="3" t="s">
        <v>2314</v>
      </c>
      <c r="D502" s="3" t="str">
        <f aca="false">IF(COUNTIF(Final_CB_R8_V5!$C$8:$C$2345,C502)&gt;=1,"YES","NO")</f>
        <v>YES</v>
      </c>
    </row>
    <row r="503" customFormat="false" ht="15.75" hidden="false" customHeight="false" outlineLevel="0" collapsed="false">
      <c r="A503" s="3" t="s">
        <v>2315</v>
      </c>
      <c r="B503" s="3" t="str">
        <f aca="false">IF(COUNTIF(Final_CB_R8_V5!$B$8:$B$20345,A503)&gt;=1,"YES","NO")</f>
        <v>YES</v>
      </c>
      <c r="C503" s="3" t="s">
        <v>2316</v>
      </c>
      <c r="D503" s="3" t="str">
        <f aca="false">IF(COUNTIF(Final_CB_R8_V5!$C$8:$C$2345,C503)&gt;=1,"YES","NO")</f>
        <v>YES</v>
      </c>
    </row>
    <row r="504" customFormat="false" ht="15.75" hidden="false" customHeight="false" outlineLevel="0" collapsed="false">
      <c r="A504" s="3" t="s">
        <v>2317</v>
      </c>
      <c r="B504" s="3" t="str">
        <f aca="false">IF(COUNTIF(Final_CB_R8_V5!$B$8:$B$20345,A504)&gt;=1,"YES","NO")</f>
        <v>YES</v>
      </c>
      <c r="C504" s="3" t="s">
        <v>2318</v>
      </c>
      <c r="D504" s="3" t="str">
        <f aca="false">IF(COUNTIF(Final_CB_R8_V5!$C$8:$C$2345,C504)&gt;=1,"YES","NO")</f>
        <v>YES</v>
      </c>
    </row>
    <row r="505" customFormat="false" ht="15.75" hidden="false" customHeight="false" outlineLevel="0" collapsed="false">
      <c r="A505" s="3" t="s">
        <v>2319</v>
      </c>
      <c r="B505" s="3" t="str">
        <f aca="false">IF(COUNTIF(Final_CB_R8_V5!$B$8:$B$20345,A505)&gt;=1,"YES","NO")</f>
        <v>YES</v>
      </c>
      <c r="C505" s="3" t="s">
        <v>2230</v>
      </c>
      <c r="D505" s="3" t="str">
        <f aca="false">IF(COUNTIF(Final_CB_R8_V5!$C$8:$C$2345,C505)&gt;=1,"YES","NO")</f>
        <v>YES</v>
      </c>
    </row>
    <row r="506" customFormat="false" ht="15.75" hidden="false" customHeight="false" outlineLevel="0" collapsed="false">
      <c r="A506" s="3" t="s">
        <v>2320</v>
      </c>
      <c r="B506" s="3" t="str">
        <f aca="false">IF(COUNTIF(Final_CB_R8_V5!$B$8:$B$20345,A506)&gt;=1,"YES","NO")</f>
        <v>YES</v>
      </c>
      <c r="C506" s="3" t="s">
        <v>2232</v>
      </c>
      <c r="D506" s="3" t="str">
        <f aca="false">IF(COUNTIF(Final_CB_R8_V5!$C$8:$C$2345,C506)&gt;=1,"YES","NO")</f>
        <v>YES</v>
      </c>
    </row>
    <row r="507" customFormat="false" ht="15.75" hidden="false" customHeight="false" outlineLevel="0" collapsed="false">
      <c r="A507" s="3" t="s">
        <v>2321</v>
      </c>
      <c r="B507" s="3" t="str">
        <f aca="false">IF(COUNTIF(Final_CB_R8_V5!$B$8:$B$20345,A507)&gt;=1,"YES","NO")</f>
        <v>YES</v>
      </c>
      <c r="C507" s="3" t="s">
        <v>2322</v>
      </c>
      <c r="D507" s="3" t="str">
        <f aca="false">IF(COUNTIF(Final_CB_R8_V5!$C$8:$C$2345,C507)&gt;=1,"YES","NO")</f>
        <v>YES</v>
      </c>
    </row>
    <row r="508" customFormat="false" ht="15.75" hidden="false" customHeight="false" outlineLevel="0" collapsed="false">
      <c r="A508" s="3" t="s">
        <v>2323</v>
      </c>
      <c r="B508" s="3" t="str">
        <f aca="false">IF(COUNTIF(Final_CB_R8_V5!$B$8:$B$20345,A508)&gt;=1,"YES","NO")</f>
        <v>YES</v>
      </c>
      <c r="C508" s="3" t="s">
        <v>2234</v>
      </c>
      <c r="D508" s="3" t="str">
        <f aca="false">IF(COUNTIF(Final_CB_R8_V5!$C$8:$C$2345,C508)&gt;=1,"YES","NO")</f>
        <v>YES</v>
      </c>
    </row>
    <row r="509" customFormat="false" ht="15.75" hidden="false" customHeight="false" outlineLevel="0" collapsed="false">
      <c r="A509" s="3" t="s">
        <v>2324</v>
      </c>
      <c r="B509" s="3" t="str">
        <f aca="false">IF(COUNTIF(Final_CB_R8_V5!$B$8:$B$20345,A509)&gt;=1,"YES","NO")</f>
        <v>YES</v>
      </c>
      <c r="C509" s="3" t="s">
        <v>2325</v>
      </c>
      <c r="D509" s="3" t="str">
        <f aca="false">IF(COUNTIF(Final_CB_R8_V5!$C$8:$C$2345,C509)&gt;=1,"YES","NO")</f>
        <v>YES</v>
      </c>
    </row>
    <row r="510" customFormat="false" ht="15.75" hidden="false" customHeight="false" outlineLevel="0" collapsed="false">
      <c r="A510" s="3" t="s">
        <v>2326</v>
      </c>
      <c r="B510" s="3" t="str">
        <f aca="false">IF(COUNTIF(Final_CB_R8_V5!$B$8:$B$20345,A510)&gt;=1,"YES","NO")</f>
        <v>YES</v>
      </c>
      <c r="C510" s="3" t="s">
        <v>2236</v>
      </c>
      <c r="D510" s="3" t="str">
        <f aca="false">IF(COUNTIF(Final_CB_R8_V5!$C$8:$C$2345,C510)&gt;=1,"YES","NO")</f>
        <v>YES</v>
      </c>
    </row>
    <row r="511" customFormat="false" ht="15.75" hidden="false" customHeight="false" outlineLevel="0" collapsed="false">
      <c r="A511" s="3" t="s">
        <v>2327</v>
      </c>
      <c r="B511" s="3" t="str">
        <f aca="false">IF(COUNTIF(Final_CB_R8_V5!$B$8:$B$20345,A511)&gt;=1,"YES","NO")</f>
        <v>YES</v>
      </c>
      <c r="C511" s="3" t="s">
        <v>2240</v>
      </c>
      <c r="D511" s="3" t="str">
        <f aca="false">IF(COUNTIF(Final_CB_R8_V5!$C$8:$C$2345,C511)&gt;=1,"YES","NO")</f>
        <v>YES</v>
      </c>
    </row>
    <row r="512" customFormat="false" ht="15.75" hidden="false" customHeight="false" outlineLevel="0" collapsed="false">
      <c r="A512" s="3" t="s">
        <v>2328</v>
      </c>
      <c r="B512" s="3" t="str">
        <f aca="false">IF(COUNTIF(Final_CB_R8_V5!$B$8:$B$20345,A512)&gt;=1,"YES","NO")</f>
        <v>YES</v>
      </c>
      <c r="C512" s="3" t="s">
        <v>1191</v>
      </c>
      <c r="D512" s="3" t="str">
        <f aca="false">IF(COUNTIF(Final_CB_R8_V5!$C$8:$C$2345,C512)&gt;=1,"YES","NO")</f>
        <v>YES</v>
      </c>
    </row>
    <row r="513" customFormat="false" ht="15.75" hidden="false" customHeight="false" outlineLevel="0" collapsed="false">
      <c r="A513" s="3" t="s">
        <v>2329</v>
      </c>
      <c r="B513" s="3" t="str">
        <f aca="false">IF(COUNTIF(Final_CB_R8_V5!$B$8:$B$20345,A513)&gt;=1,"YES","NO")</f>
        <v>YES</v>
      </c>
      <c r="C513" s="3" t="s">
        <v>2242</v>
      </c>
      <c r="D513" s="3" t="str">
        <f aca="false">IF(COUNTIF(Final_CB_R8_V5!$C$8:$C$2345,C513)&gt;=1,"YES","NO")</f>
        <v>YES</v>
      </c>
    </row>
    <row r="514" customFormat="false" ht="15.75" hidden="false" customHeight="false" outlineLevel="0" collapsed="false">
      <c r="A514" s="3" t="s">
        <v>2330</v>
      </c>
      <c r="B514" s="3" t="str">
        <f aca="false">IF(COUNTIF(Final_CB_R8_V5!$B$8:$B$20345,A514)&gt;=1,"YES","NO")</f>
        <v>YES</v>
      </c>
      <c r="C514" s="3" t="s">
        <v>2244</v>
      </c>
      <c r="D514" s="3" t="str">
        <f aca="false">IF(COUNTIF(Final_CB_R8_V5!$C$8:$C$2345,C514)&gt;=1,"YES","NO")</f>
        <v>YES</v>
      </c>
    </row>
    <row r="515" customFormat="false" ht="15.75" hidden="false" customHeight="false" outlineLevel="0" collapsed="false">
      <c r="A515" s="3" t="s">
        <v>2331</v>
      </c>
      <c r="B515" s="3" t="str">
        <f aca="false">IF(COUNTIF(Final_CB_R8_V5!$B$8:$B$20345,A515)&gt;=1,"YES","NO")</f>
        <v>YES</v>
      </c>
      <c r="C515" s="3" t="s">
        <v>2332</v>
      </c>
      <c r="D515" s="3" t="str">
        <f aca="false">IF(COUNTIF(Final_CB_R8_V5!$C$8:$C$2345,C515)&gt;=1,"YES","NO")</f>
        <v>YES</v>
      </c>
    </row>
    <row r="516" customFormat="false" ht="15.75" hidden="false" customHeight="false" outlineLevel="0" collapsed="false">
      <c r="A516" s="3" t="s">
        <v>2333</v>
      </c>
      <c r="B516" s="3" t="str">
        <f aca="false">IF(COUNTIF(Final_CB_R8_V5!$B$8:$B$20345,A516)&gt;=1,"YES","NO")</f>
        <v>YES</v>
      </c>
      <c r="C516" s="3" t="s">
        <v>2334</v>
      </c>
      <c r="D516" s="3" t="str">
        <f aca="false">IF(COUNTIF(Final_CB_R8_V5!$C$8:$C$2345,C516)&gt;=1,"YES","NO")</f>
        <v>YES</v>
      </c>
    </row>
    <row r="517" customFormat="false" ht="15.75" hidden="false" customHeight="false" outlineLevel="0" collapsed="false">
      <c r="A517" s="3" t="s">
        <v>2335</v>
      </c>
      <c r="B517" s="3" t="str">
        <f aca="false">IF(COUNTIF(Final_CB_R8_V5!$B$8:$B$20345,A517)&gt;=1,"YES","NO")</f>
        <v>YES</v>
      </c>
      <c r="C517" s="3" t="s">
        <v>2336</v>
      </c>
      <c r="D517" s="3" t="str">
        <f aca="false">IF(COUNTIF(Final_CB_R8_V5!$C$8:$C$2345,C517)&gt;=1,"YES","NO")</f>
        <v>YES</v>
      </c>
    </row>
    <row r="518" customFormat="false" ht="15.75" hidden="false" customHeight="false" outlineLevel="0" collapsed="false">
      <c r="A518" s="3" t="s">
        <v>2337</v>
      </c>
      <c r="B518" s="3" t="str">
        <f aca="false">IF(COUNTIF(Final_CB_R8_V5!$B$8:$B$20345,A518)&gt;=1,"YES","NO")</f>
        <v>YES</v>
      </c>
      <c r="C518" s="3" t="s">
        <v>2338</v>
      </c>
      <c r="D518" s="3" t="str">
        <f aca="false">IF(COUNTIF(Final_CB_R8_V5!$C$8:$C$2345,C518)&gt;=1,"YES","NO")</f>
        <v>YES</v>
      </c>
    </row>
    <row r="519" customFormat="false" ht="15.75" hidden="false" customHeight="false" outlineLevel="0" collapsed="false">
      <c r="A519" s="3" t="s">
        <v>2339</v>
      </c>
      <c r="B519" s="3" t="str">
        <f aca="false">IF(COUNTIF(Final_CB_R8_V5!$B$8:$B$20345,A519)&gt;=1,"YES","NO")</f>
        <v>YES</v>
      </c>
      <c r="C519" s="3" t="s">
        <v>2250</v>
      </c>
      <c r="D519" s="3" t="str">
        <f aca="false">IF(COUNTIF(Final_CB_R8_V5!$C$8:$C$2345,C519)&gt;=1,"YES","NO")</f>
        <v>YES</v>
      </c>
    </row>
    <row r="520" customFormat="false" ht="15.75" hidden="false" customHeight="false" outlineLevel="0" collapsed="false">
      <c r="A520" s="3" t="s">
        <v>2340</v>
      </c>
      <c r="B520" s="3" t="str">
        <f aca="false">IF(COUNTIF(Final_CB_R8_V5!$B$8:$B$20345,A520)&gt;=1,"YES","NO")</f>
        <v>YES</v>
      </c>
      <c r="C520" s="3" t="s">
        <v>2252</v>
      </c>
      <c r="D520" s="3" t="str">
        <f aca="false">IF(COUNTIF(Final_CB_R8_V5!$C$8:$C$2345,C520)&gt;=1,"YES","NO")</f>
        <v>YES</v>
      </c>
    </row>
    <row r="521" customFormat="false" ht="15.75" hidden="false" customHeight="false" outlineLevel="0" collapsed="false">
      <c r="A521" s="3" t="s">
        <v>2341</v>
      </c>
      <c r="B521" s="3" t="str">
        <f aca="false">IF(COUNTIF(Final_CB_R8_V5!$B$8:$B$20345,A521)&gt;=1,"YES","NO")</f>
        <v>YES</v>
      </c>
      <c r="C521" s="3" t="s">
        <v>2342</v>
      </c>
      <c r="D521" s="3" t="str">
        <f aca="false">IF(COUNTIF(Final_CB_R8_V5!$C$8:$C$2345,C521)&gt;=1,"YES","NO")</f>
        <v>YES</v>
      </c>
    </row>
    <row r="522" customFormat="false" ht="15.75" hidden="false" customHeight="false" outlineLevel="0" collapsed="false">
      <c r="A522" s="3" t="s">
        <v>2343</v>
      </c>
      <c r="B522" s="3" t="str">
        <f aca="false">IF(COUNTIF(Final_CB_R8_V5!$B$8:$B$20345,A522)&gt;=1,"YES","NO")</f>
        <v>YES</v>
      </c>
      <c r="C522" s="3" t="s">
        <v>2254</v>
      </c>
      <c r="D522" s="3" t="str">
        <f aca="false">IF(COUNTIF(Final_CB_R8_V5!$C$8:$C$2345,C522)&gt;=1,"YES","NO")</f>
        <v>YES</v>
      </c>
    </row>
    <row r="523" customFormat="false" ht="15.75" hidden="false" customHeight="false" outlineLevel="0" collapsed="false">
      <c r="A523" s="3" t="s">
        <v>2344</v>
      </c>
      <c r="B523" s="3" t="str">
        <f aca="false">IF(COUNTIF(Final_CB_R8_V5!$B$8:$B$20345,A523)&gt;=1,"YES","NO")</f>
        <v>YES</v>
      </c>
      <c r="C523" s="3" t="s">
        <v>2345</v>
      </c>
      <c r="D523" s="3" t="str">
        <f aca="false">IF(COUNTIF(Final_CB_R8_V5!$C$8:$C$2345,C523)&gt;=1,"YES","NO")</f>
        <v>YES</v>
      </c>
    </row>
    <row r="524" customFormat="false" ht="15.75" hidden="false" customHeight="false" outlineLevel="0" collapsed="false">
      <c r="A524" s="3" t="s">
        <v>2346</v>
      </c>
      <c r="B524" s="3" t="str">
        <f aca="false">IF(COUNTIF(Final_CB_R8_V5!$B$8:$B$20345,A524)&gt;=1,"YES","NO")</f>
        <v>YES</v>
      </c>
      <c r="C524" s="3" t="s">
        <v>2347</v>
      </c>
      <c r="D524" s="3" t="str">
        <f aca="false">IF(COUNTIF(Final_CB_R8_V5!$C$8:$C$2345,C524)&gt;=1,"YES","NO")</f>
        <v>YES</v>
      </c>
    </row>
    <row r="525" customFormat="false" ht="15.75" hidden="false" customHeight="false" outlineLevel="0" collapsed="false">
      <c r="A525" s="3" t="s">
        <v>2348</v>
      </c>
      <c r="B525" s="3" t="str">
        <f aca="false">IF(COUNTIF(Final_CB_R8_V5!$B$8:$B$20345,A525)&gt;=1,"YES","NO")</f>
        <v>YES</v>
      </c>
      <c r="C525" s="3" t="s">
        <v>2349</v>
      </c>
      <c r="D525" s="3" t="str">
        <f aca="false">IF(COUNTIF(Final_CB_R8_V5!$C$8:$C$2345,C525)&gt;=1,"YES","NO")</f>
        <v>YES</v>
      </c>
    </row>
    <row r="526" customFormat="false" ht="15.75" hidden="false" customHeight="false" outlineLevel="0" collapsed="false">
      <c r="A526" s="3" t="s">
        <v>2350</v>
      </c>
      <c r="B526" s="3" t="str">
        <f aca="false">IF(COUNTIF(Final_CB_R8_V5!$B$8:$B$20345,A526)&gt;=1,"YES","NO")</f>
        <v>YES</v>
      </c>
      <c r="C526" s="3" t="s">
        <v>2351</v>
      </c>
      <c r="D526" s="3" t="str">
        <f aca="false">IF(COUNTIF(Final_CB_R8_V5!$C$8:$C$2345,C526)&gt;=1,"YES","NO")</f>
        <v>YES</v>
      </c>
    </row>
    <row r="527" customFormat="false" ht="15.75" hidden="false" customHeight="false" outlineLevel="0" collapsed="false">
      <c r="A527" s="3" t="s">
        <v>2352</v>
      </c>
      <c r="B527" s="3" t="str">
        <f aca="false">IF(COUNTIF(Final_CB_R8_V5!$B$8:$B$20345,A527)&gt;=1,"YES","NO")</f>
        <v>YES</v>
      </c>
      <c r="C527" s="3" t="s">
        <v>2353</v>
      </c>
      <c r="D527" s="3" t="str">
        <f aca="false">IF(COUNTIF(Final_CB_R8_V5!$C$8:$C$2345,C527)&gt;=1,"YES","NO")</f>
        <v>YES</v>
      </c>
    </row>
    <row r="528" customFormat="false" ht="15.75" hidden="false" customHeight="false" outlineLevel="0" collapsed="false">
      <c r="A528" s="3" t="s">
        <v>2354</v>
      </c>
      <c r="B528" s="3" t="str">
        <f aca="false">IF(COUNTIF(Final_CB_R8_V5!$B$8:$B$20345,A528)&gt;=1,"YES","NO")</f>
        <v>YES</v>
      </c>
      <c r="C528" s="3" t="s">
        <v>2355</v>
      </c>
      <c r="D528" s="3" t="str">
        <f aca="false">IF(COUNTIF(Final_CB_R8_V5!$C$8:$C$2345,C528)&gt;=1,"YES","NO")</f>
        <v>YES</v>
      </c>
    </row>
    <row r="529" customFormat="false" ht="15.75" hidden="false" customHeight="false" outlineLevel="0" collapsed="false">
      <c r="A529" s="3" t="s">
        <v>2356</v>
      </c>
      <c r="B529" s="3" t="str">
        <f aca="false">IF(COUNTIF(Final_CB_R8_V5!$B$8:$B$20345,A529)&gt;=1,"YES","NO")</f>
        <v>YES</v>
      </c>
      <c r="C529" s="3" t="s">
        <v>2357</v>
      </c>
      <c r="D529" s="3" t="str">
        <f aca="false">IF(COUNTIF(Final_CB_R8_V5!$C$8:$C$2345,C529)&gt;=1,"YES","NO")</f>
        <v>YES</v>
      </c>
    </row>
    <row r="530" customFormat="false" ht="15.75" hidden="false" customHeight="false" outlineLevel="0" collapsed="false">
      <c r="A530" s="3" t="s">
        <v>2358</v>
      </c>
      <c r="B530" s="3" t="str">
        <f aca="false">IF(COUNTIF(Final_CB_R8_V5!$B$8:$B$20345,A530)&gt;=1,"YES","NO")</f>
        <v>YES</v>
      </c>
      <c r="C530" s="3" t="s">
        <v>2359</v>
      </c>
      <c r="D530" s="3" t="str">
        <f aca="false">IF(COUNTIF(Final_CB_R8_V5!$C$8:$C$2345,C530)&gt;=1,"YES","NO")</f>
        <v>YES</v>
      </c>
    </row>
    <row r="531" customFormat="false" ht="15.75" hidden="false" customHeight="false" outlineLevel="0" collapsed="false">
      <c r="A531" s="3" t="s">
        <v>2360</v>
      </c>
      <c r="B531" s="3" t="str">
        <f aca="false">IF(COUNTIF(Final_CB_R8_V5!$B$8:$B$20345,A531)&gt;=1,"YES","NO")</f>
        <v>YES</v>
      </c>
      <c r="C531" s="3" t="s">
        <v>2361</v>
      </c>
      <c r="D531" s="3" t="str">
        <f aca="false">IF(COUNTIF(Final_CB_R8_V5!$C$8:$C$2345,C531)&gt;=1,"YES","NO")</f>
        <v>YES</v>
      </c>
    </row>
    <row r="532" customFormat="false" ht="15.75" hidden="false" customHeight="false" outlineLevel="0" collapsed="false">
      <c r="A532" s="3" t="s">
        <v>2362</v>
      </c>
      <c r="B532" s="3" t="str">
        <f aca="false">IF(COUNTIF(Final_CB_R8_V5!$B$8:$B$20345,A532)&gt;=1,"YES","NO")</f>
        <v>YES</v>
      </c>
      <c r="C532" s="3" t="s">
        <v>2258</v>
      </c>
      <c r="D532" s="3" t="str">
        <f aca="false">IF(COUNTIF(Final_CB_R8_V5!$C$8:$C$2345,C532)&gt;=1,"YES","NO")</f>
        <v>YES</v>
      </c>
    </row>
    <row r="533" customFormat="false" ht="15.75" hidden="false" customHeight="false" outlineLevel="0" collapsed="false">
      <c r="A533" s="3" t="s">
        <v>2363</v>
      </c>
      <c r="B533" s="3" t="str">
        <f aca="false">IF(COUNTIF(Final_CB_R8_V5!$B$8:$B$20345,A533)&gt;=1,"YES","NO")</f>
        <v>YES</v>
      </c>
      <c r="C533" s="3" t="s">
        <v>2364</v>
      </c>
      <c r="D533" s="3" t="str">
        <f aca="false">IF(COUNTIF(Final_CB_R8_V5!$C$8:$C$2345,C533)&gt;=1,"YES","NO")</f>
        <v>YES</v>
      </c>
    </row>
    <row r="534" customFormat="false" ht="15.75" hidden="false" customHeight="false" outlineLevel="0" collapsed="false">
      <c r="A534" s="3" t="s">
        <v>2365</v>
      </c>
      <c r="B534" s="3" t="str">
        <f aca="false">IF(COUNTIF(Final_CB_R8_V5!$B$8:$B$20345,A534)&gt;=1,"YES","NO")</f>
        <v>YES</v>
      </c>
      <c r="C534" s="3" t="s">
        <v>2366</v>
      </c>
      <c r="D534" s="3" t="str">
        <f aca="false">IF(COUNTIF(Final_CB_R8_V5!$C$8:$C$2345,C534)&gt;=1,"YES","NO")</f>
        <v>YES</v>
      </c>
    </row>
    <row r="535" customFormat="false" ht="15.75" hidden="false" customHeight="false" outlineLevel="0" collapsed="false">
      <c r="A535" s="3" t="s">
        <v>2367</v>
      </c>
      <c r="B535" s="3" t="str">
        <f aca="false">IF(COUNTIF(Final_CB_R8_V5!$B$8:$B$20345,A535)&gt;=1,"YES","NO")</f>
        <v>YES</v>
      </c>
      <c r="C535" s="3" t="s">
        <v>2368</v>
      </c>
      <c r="D535" s="3" t="str">
        <f aca="false">IF(COUNTIF(Final_CB_R8_V5!$C$8:$C$2345,C535)&gt;=1,"YES","NO")</f>
        <v>YES</v>
      </c>
    </row>
    <row r="536" customFormat="false" ht="15.75" hidden="false" customHeight="false" outlineLevel="0" collapsed="false">
      <c r="A536" s="3" t="s">
        <v>2369</v>
      </c>
      <c r="B536" s="3" t="str">
        <f aca="false">IF(COUNTIF(Final_CB_R8_V5!$B$8:$B$20345,A536)&gt;=1,"YES","NO")</f>
        <v>YES</v>
      </c>
      <c r="C536" s="3" t="s">
        <v>2370</v>
      </c>
      <c r="D536" s="3" t="str">
        <f aca="false">IF(COUNTIF(Final_CB_R8_V5!$C$8:$C$2345,C536)&gt;=1,"YES","NO")</f>
        <v>YES</v>
      </c>
    </row>
    <row r="537" customFormat="false" ht="15.75" hidden="false" customHeight="false" outlineLevel="0" collapsed="false">
      <c r="A537" s="3" t="s">
        <v>2371</v>
      </c>
      <c r="B537" s="3" t="str">
        <f aca="false">IF(COUNTIF(Final_CB_R8_V5!$B$8:$B$20345,A537)&gt;=1,"YES","NO")</f>
        <v>YES</v>
      </c>
      <c r="C537" s="3" t="s">
        <v>2372</v>
      </c>
      <c r="D537" s="3" t="str">
        <f aca="false">IF(COUNTIF(Final_CB_R8_V5!$C$8:$C$2345,C537)&gt;=1,"YES","NO")</f>
        <v>YES</v>
      </c>
    </row>
    <row r="538" customFormat="false" ht="15.75" hidden="false" customHeight="false" outlineLevel="0" collapsed="false">
      <c r="A538" s="3" t="s">
        <v>2373</v>
      </c>
      <c r="B538" s="3" t="str">
        <f aca="false">IF(COUNTIF(Final_CB_R8_V5!$B$8:$B$20345,A538)&gt;=1,"YES","NO")</f>
        <v>YES</v>
      </c>
      <c r="C538" s="3" t="s">
        <v>2374</v>
      </c>
      <c r="D538" s="3" t="str">
        <f aca="false">IF(COUNTIF(Final_CB_R8_V5!$C$8:$C$2345,C538)&gt;=1,"YES","NO")</f>
        <v>YES</v>
      </c>
    </row>
    <row r="539" customFormat="false" ht="15.75" hidden="false" customHeight="false" outlineLevel="0" collapsed="false">
      <c r="A539" s="3" t="s">
        <v>2375</v>
      </c>
      <c r="B539" s="3" t="str">
        <f aca="false">IF(COUNTIF(Final_CB_R8_V5!$B$8:$B$20345,A539)&gt;=1,"YES","NO")</f>
        <v>YES</v>
      </c>
      <c r="C539" s="3" t="s">
        <v>2376</v>
      </c>
      <c r="D539" s="3" t="str">
        <f aca="false">IF(COUNTIF(Final_CB_R8_V5!$C$8:$C$2345,C539)&gt;=1,"YES","NO")</f>
        <v>YES</v>
      </c>
    </row>
    <row r="540" customFormat="false" ht="15.75" hidden="false" customHeight="false" outlineLevel="0" collapsed="false">
      <c r="A540" s="3" t="s">
        <v>2377</v>
      </c>
      <c r="B540" s="3" t="str">
        <f aca="false">IF(COUNTIF(Final_CB_R8_V5!$B$8:$B$20345,A540)&gt;=1,"YES","NO")</f>
        <v>YES</v>
      </c>
      <c r="C540" s="3" t="s">
        <v>2378</v>
      </c>
      <c r="D540" s="3" t="str">
        <f aca="false">IF(COUNTIF(Final_CB_R8_V5!$C$8:$C$2345,C540)&gt;=1,"YES","NO")</f>
        <v>YES</v>
      </c>
    </row>
    <row r="541" customFormat="false" ht="15.75" hidden="false" customHeight="false" outlineLevel="0" collapsed="false">
      <c r="A541" s="3" t="s">
        <v>2379</v>
      </c>
      <c r="B541" s="3" t="str">
        <f aca="false">IF(COUNTIF(Final_CB_R8_V5!$B$8:$B$20345,A541)&gt;=1,"YES","NO")</f>
        <v>YES</v>
      </c>
      <c r="C541" s="3" t="s">
        <v>2380</v>
      </c>
      <c r="D541" s="3" t="str">
        <f aca="false">IF(COUNTIF(Final_CB_R8_V5!$C$8:$C$2345,C541)&gt;=1,"YES","NO")</f>
        <v>YES</v>
      </c>
    </row>
    <row r="542" customFormat="false" ht="15.75" hidden="false" customHeight="false" outlineLevel="0" collapsed="false">
      <c r="A542" s="3" t="s">
        <v>2381</v>
      </c>
      <c r="B542" s="3" t="str">
        <f aca="false">IF(COUNTIF(Final_CB_R8_V5!$B$8:$B$20345,A542)&gt;=1,"YES","NO")</f>
        <v>YES</v>
      </c>
      <c r="C542" s="3" t="s">
        <v>2382</v>
      </c>
      <c r="D542" s="3" t="str">
        <f aca="false">IF(COUNTIF(Final_CB_R8_V5!$C$8:$C$2345,C542)&gt;=1,"YES","NO")</f>
        <v>YES</v>
      </c>
    </row>
    <row r="543" customFormat="false" ht="15.75" hidden="false" customHeight="false" outlineLevel="0" collapsed="false">
      <c r="A543" s="3" t="s">
        <v>2383</v>
      </c>
      <c r="B543" s="3" t="str">
        <f aca="false">IF(COUNTIF(Final_CB_R8_V5!$B$8:$B$20345,A543)&gt;=1,"YES","NO")</f>
        <v>YES</v>
      </c>
      <c r="C543" s="3" t="s">
        <v>2384</v>
      </c>
      <c r="D543" s="3" t="str">
        <f aca="false">IF(COUNTIF(Final_CB_R8_V5!$C$8:$C$2345,C543)&gt;=1,"YES","NO")</f>
        <v>YES</v>
      </c>
    </row>
    <row r="544" customFormat="false" ht="15.75" hidden="false" customHeight="false" outlineLevel="0" collapsed="false">
      <c r="A544" s="3" t="s">
        <v>2385</v>
      </c>
      <c r="B544" s="3" t="str">
        <f aca="false">IF(COUNTIF(Final_CB_R8_V5!$B$8:$B$20345,A544)&gt;=1,"YES","NO")</f>
        <v>YES</v>
      </c>
      <c r="C544" s="3" t="s">
        <v>2386</v>
      </c>
      <c r="D544" s="3" t="str">
        <f aca="false">IF(COUNTIF(Final_CB_R8_V5!$C$8:$C$2345,C544)&gt;=1,"YES","NO")</f>
        <v>YES</v>
      </c>
    </row>
    <row r="545" customFormat="false" ht="15.75" hidden="false" customHeight="false" outlineLevel="0" collapsed="false">
      <c r="A545" s="3" t="s">
        <v>2387</v>
      </c>
      <c r="B545" s="3" t="str">
        <f aca="false">IF(COUNTIF(Final_CB_R8_V5!$B$8:$B$20345,A545)&gt;=1,"YES","NO")</f>
        <v>YES</v>
      </c>
      <c r="C545" s="3" t="s">
        <v>2388</v>
      </c>
      <c r="D545" s="3" t="str">
        <f aca="false">IF(COUNTIF(Final_CB_R8_V5!$C$8:$C$2345,C545)&gt;=1,"YES","NO")</f>
        <v>YES</v>
      </c>
    </row>
    <row r="546" customFormat="false" ht="15.75" hidden="false" customHeight="false" outlineLevel="0" collapsed="false">
      <c r="A546" s="3" t="s">
        <v>2389</v>
      </c>
      <c r="B546" s="3" t="str">
        <f aca="false">IF(COUNTIF(Final_CB_R8_V5!$B$8:$B$20345,A546)&gt;=1,"YES","NO")</f>
        <v>YES</v>
      </c>
      <c r="C546" s="3" t="s">
        <v>2390</v>
      </c>
      <c r="D546" s="3" t="str">
        <f aca="false">IF(COUNTIF(Final_CB_R8_V5!$C$8:$C$2345,C546)&gt;=1,"YES","NO")</f>
        <v>YES</v>
      </c>
    </row>
    <row r="547" customFormat="false" ht="15.75" hidden="false" customHeight="false" outlineLevel="0" collapsed="false">
      <c r="A547" s="3" t="s">
        <v>2391</v>
      </c>
      <c r="B547" s="3" t="str">
        <f aca="false">IF(COUNTIF(Final_CB_R8_V5!$B$8:$B$20345,A547)&gt;=1,"YES","NO")</f>
        <v>YES</v>
      </c>
      <c r="C547" s="3" t="s">
        <v>2392</v>
      </c>
      <c r="D547" s="3" t="str">
        <f aca="false">IF(COUNTIF(Final_CB_R8_V5!$C$8:$C$2345,C547)&gt;=1,"YES","NO")</f>
        <v>YES</v>
      </c>
    </row>
    <row r="548" customFormat="false" ht="15.75" hidden="false" customHeight="false" outlineLevel="0" collapsed="false">
      <c r="A548" s="3" t="s">
        <v>2393</v>
      </c>
      <c r="B548" s="3" t="str">
        <f aca="false">IF(COUNTIF(Final_CB_R8_V5!$B$8:$B$20345,A548)&gt;=1,"YES","NO")</f>
        <v>YES</v>
      </c>
      <c r="C548" s="3" t="s">
        <v>2394</v>
      </c>
      <c r="D548" s="3" t="str">
        <f aca="false">IF(COUNTIF(Final_CB_R8_V5!$C$8:$C$2345,C548)&gt;=1,"YES","NO")</f>
        <v>YES</v>
      </c>
    </row>
    <row r="549" customFormat="false" ht="15.75" hidden="false" customHeight="false" outlineLevel="0" collapsed="false">
      <c r="A549" s="3" t="s">
        <v>2395</v>
      </c>
      <c r="B549" s="3" t="str">
        <f aca="false">IF(COUNTIF(Final_CB_R8_V5!$B$8:$B$20345,A549)&gt;=1,"YES","NO")</f>
        <v>YES</v>
      </c>
      <c r="C549" s="3" t="s">
        <v>2396</v>
      </c>
      <c r="D549" s="3" t="str">
        <f aca="false">IF(COUNTIF(Final_CB_R8_V5!$C$8:$C$2345,C549)&gt;=1,"YES","NO")</f>
        <v>YES</v>
      </c>
    </row>
    <row r="550" customFormat="false" ht="15.75" hidden="false" customHeight="false" outlineLevel="0" collapsed="false">
      <c r="A550" s="3" t="s">
        <v>2397</v>
      </c>
      <c r="B550" s="3" t="str">
        <f aca="false">IF(COUNTIF(Final_CB_R8_V5!$B$8:$B$20345,A550)&gt;=1,"YES","NO")</f>
        <v>YES</v>
      </c>
      <c r="C550" s="3" t="s">
        <v>2398</v>
      </c>
      <c r="D550" s="3" t="str">
        <f aca="false">IF(COUNTIF(Final_CB_R8_V5!$C$8:$C$2345,C550)&gt;=1,"YES","NO")</f>
        <v>YES</v>
      </c>
    </row>
    <row r="551" customFormat="false" ht="15.75" hidden="false" customHeight="false" outlineLevel="0" collapsed="false">
      <c r="A551" s="3" t="s">
        <v>2399</v>
      </c>
      <c r="B551" s="3" t="str">
        <f aca="false">IF(COUNTIF(Final_CB_R8_V5!$B$8:$B$20345,A551)&gt;=1,"YES","NO")</f>
        <v>YES</v>
      </c>
      <c r="C551" s="3" t="s">
        <v>2400</v>
      </c>
      <c r="D551" s="3" t="str">
        <f aca="false">IF(COUNTIF(Final_CB_R8_V5!$C$8:$C$2345,C551)&gt;=1,"YES","NO")</f>
        <v>YES</v>
      </c>
    </row>
    <row r="552" customFormat="false" ht="15.75" hidden="false" customHeight="false" outlineLevel="0" collapsed="false">
      <c r="A552" s="3" t="s">
        <v>2401</v>
      </c>
      <c r="B552" s="3" t="str">
        <f aca="false">IF(COUNTIF(Final_CB_R8_V5!$B$8:$B$20345,A552)&gt;=1,"YES","NO")</f>
        <v>YES</v>
      </c>
      <c r="C552" s="3" t="s">
        <v>2402</v>
      </c>
      <c r="D552" s="3" t="str">
        <f aca="false">IF(COUNTIF(Final_CB_R8_V5!$C$8:$C$2345,C552)&gt;=1,"YES","NO")</f>
        <v>YES</v>
      </c>
    </row>
    <row r="553" customFormat="false" ht="15.75" hidden="false" customHeight="false" outlineLevel="0" collapsed="false">
      <c r="A553" s="3" t="s">
        <v>2403</v>
      </c>
      <c r="B553" s="3" t="str">
        <f aca="false">IF(COUNTIF(Final_CB_R8_V5!$B$8:$B$20345,A553)&gt;=1,"YES","NO")</f>
        <v>YES</v>
      </c>
      <c r="C553" s="3" t="s">
        <v>2404</v>
      </c>
      <c r="D553" s="3" t="str">
        <f aca="false">IF(COUNTIF(Final_CB_R8_V5!$C$8:$C$2345,C553)&gt;=1,"YES","NO")</f>
        <v>YES</v>
      </c>
    </row>
    <row r="554" customFormat="false" ht="15.75" hidden="false" customHeight="false" outlineLevel="0" collapsed="false">
      <c r="A554" s="3" t="s">
        <v>2405</v>
      </c>
      <c r="B554" s="3" t="str">
        <f aca="false">IF(COUNTIF(Final_CB_R8_V5!$B$8:$B$20345,A554)&gt;=1,"YES","NO")</f>
        <v>YES</v>
      </c>
      <c r="C554" s="3" t="s">
        <v>2406</v>
      </c>
      <c r="D554" s="3" t="str">
        <f aca="false">IF(COUNTIF(Final_CB_R8_V5!$C$8:$C$2345,C554)&gt;=1,"YES","NO")</f>
        <v>YES</v>
      </c>
    </row>
    <row r="555" customFormat="false" ht="15.75" hidden="false" customHeight="false" outlineLevel="0" collapsed="false">
      <c r="A555" s="3" t="s">
        <v>2407</v>
      </c>
      <c r="B555" s="3" t="str">
        <f aca="false">IF(COUNTIF(Final_CB_R8_V5!$B$8:$B$20345,A555)&gt;=1,"YES","NO")</f>
        <v>YES</v>
      </c>
      <c r="C555" s="3" t="s">
        <v>2408</v>
      </c>
      <c r="D555" s="3" t="str">
        <f aca="false">IF(COUNTIF(Final_CB_R8_V5!$C$8:$C$2345,C555)&gt;=1,"YES","NO")</f>
        <v>YES</v>
      </c>
    </row>
    <row r="556" customFormat="false" ht="15.75" hidden="false" customHeight="false" outlineLevel="0" collapsed="false">
      <c r="A556" s="3" t="s">
        <v>2409</v>
      </c>
      <c r="B556" s="3" t="str">
        <f aca="false">IF(COUNTIF(Final_CB_R8_V5!$B$8:$B$20345,A556)&gt;=1,"YES","NO")</f>
        <v>YES</v>
      </c>
      <c r="C556" s="3" t="s">
        <v>2410</v>
      </c>
      <c r="D556" s="3" t="str">
        <f aca="false">IF(COUNTIF(Final_CB_R8_V5!$C$8:$C$2345,C556)&gt;=1,"YES","NO")</f>
        <v>YES</v>
      </c>
    </row>
    <row r="557" customFormat="false" ht="15.75" hidden="false" customHeight="false" outlineLevel="0" collapsed="false">
      <c r="A557" s="3" t="s">
        <v>2411</v>
      </c>
      <c r="B557" s="3" t="str">
        <f aca="false">IF(COUNTIF(Final_CB_R8_V5!$B$8:$B$20345,A557)&gt;=1,"YES","NO")</f>
        <v>YES</v>
      </c>
      <c r="C557" s="3" t="s">
        <v>2412</v>
      </c>
      <c r="D557" s="3" t="str">
        <f aca="false">IF(COUNTIF(Final_CB_R8_V5!$C$8:$C$2345,C557)&gt;=1,"YES","NO")</f>
        <v>YES</v>
      </c>
    </row>
    <row r="558" customFormat="false" ht="15.75" hidden="false" customHeight="false" outlineLevel="0" collapsed="false">
      <c r="A558" s="3" t="s">
        <v>2413</v>
      </c>
      <c r="B558" s="3" t="str">
        <f aca="false">IF(COUNTIF(Final_CB_R8_V5!$B$8:$B$20345,A558)&gt;=1,"YES","NO")</f>
        <v>YES</v>
      </c>
      <c r="C558" s="3" t="s">
        <v>2414</v>
      </c>
      <c r="D558" s="3" t="str">
        <f aca="false">IF(COUNTIF(Final_CB_R8_V5!$C$8:$C$2345,C558)&gt;=1,"YES","NO")</f>
        <v>YES</v>
      </c>
    </row>
    <row r="559" customFormat="false" ht="15.75" hidden="false" customHeight="false" outlineLevel="0" collapsed="false">
      <c r="A559" s="3" t="s">
        <v>2415</v>
      </c>
      <c r="B559" s="3" t="str">
        <f aca="false">IF(COUNTIF(Final_CB_R8_V5!$B$8:$B$20345,A559)&gt;=1,"YES","NO")</f>
        <v>YES</v>
      </c>
      <c r="C559" s="3" t="s">
        <v>2416</v>
      </c>
      <c r="D559" s="3" t="str">
        <f aca="false">IF(COUNTIF(Final_CB_R8_V5!$C$8:$C$2345,C559)&gt;=1,"YES","NO")</f>
        <v>YES</v>
      </c>
    </row>
    <row r="560" customFormat="false" ht="15.75" hidden="false" customHeight="false" outlineLevel="0" collapsed="false">
      <c r="A560" s="3" t="s">
        <v>2417</v>
      </c>
      <c r="B560" s="3" t="str">
        <f aca="false">IF(COUNTIF(Final_CB_R8_V5!$B$8:$B$20345,A560)&gt;=1,"YES","NO")</f>
        <v>YES</v>
      </c>
      <c r="C560" s="3" t="s">
        <v>2418</v>
      </c>
      <c r="D560" s="3" t="str">
        <f aca="false">IF(COUNTIF(Final_CB_R8_V5!$C$8:$C$2345,C560)&gt;=1,"YES","NO")</f>
        <v>YES</v>
      </c>
    </row>
    <row r="561" customFormat="false" ht="15.75" hidden="false" customHeight="false" outlineLevel="0" collapsed="false">
      <c r="A561" s="3" t="s">
        <v>2419</v>
      </c>
      <c r="B561" s="3" t="str">
        <f aca="false">IF(COUNTIF(Final_CB_R8_V5!$B$8:$B$20345,A561)&gt;=1,"YES","NO")</f>
        <v>YES</v>
      </c>
      <c r="C561" s="3" t="s">
        <v>2420</v>
      </c>
      <c r="D561" s="3" t="str">
        <f aca="false">IF(COUNTIF(Final_CB_R8_V5!$C$8:$C$2345,C561)&gt;=1,"YES","NO")</f>
        <v>YES</v>
      </c>
    </row>
    <row r="562" customFormat="false" ht="15.75" hidden="false" customHeight="false" outlineLevel="0" collapsed="false">
      <c r="A562" s="3" t="s">
        <v>2421</v>
      </c>
      <c r="B562" s="3" t="str">
        <f aca="false">IF(COUNTIF(Final_CB_R8_V5!$B$8:$B$20345,A562)&gt;=1,"YES","NO")</f>
        <v>YES</v>
      </c>
      <c r="C562" s="3" t="s">
        <v>2422</v>
      </c>
      <c r="D562" s="3" t="str">
        <f aca="false">IF(COUNTIF(Final_CB_R8_V5!$C$8:$C$2345,C562)&gt;=1,"YES","NO")</f>
        <v>YES</v>
      </c>
    </row>
    <row r="563" customFormat="false" ht="15.75" hidden="false" customHeight="false" outlineLevel="0" collapsed="false">
      <c r="A563" s="3" t="s">
        <v>2423</v>
      </c>
      <c r="B563" s="3" t="str">
        <f aca="false">IF(COUNTIF(Final_CB_R8_V5!$B$8:$B$20345,A563)&gt;=1,"YES","NO")</f>
        <v>YES</v>
      </c>
      <c r="C563" s="3" t="s">
        <v>2424</v>
      </c>
      <c r="D563" s="3" t="str">
        <f aca="false">IF(COUNTIF(Final_CB_R8_V5!$C$8:$C$2345,C563)&gt;=1,"YES","NO")</f>
        <v>YES</v>
      </c>
    </row>
    <row r="564" customFormat="false" ht="15.75" hidden="false" customHeight="false" outlineLevel="0" collapsed="false">
      <c r="A564" s="3" t="s">
        <v>2425</v>
      </c>
      <c r="B564" s="3" t="str">
        <f aca="false">IF(COUNTIF(Final_CB_R8_V5!$B$8:$B$20345,A564)&gt;=1,"YES","NO")</f>
        <v>YES</v>
      </c>
      <c r="C564" s="3" t="s">
        <v>2426</v>
      </c>
      <c r="D564" s="3" t="str">
        <f aca="false">IF(COUNTIF(Final_CB_R8_V5!$C$8:$C$2345,C564)&gt;=1,"YES","NO")</f>
        <v>YES</v>
      </c>
    </row>
    <row r="565" customFormat="false" ht="15.75" hidden="false" customHeight="false" outlineLevel="0" collapsed="false">
      <c r="A565" s="3" t="s">
        <v>2427</v>
      </c>
      <c r="B565" s="3" t="str">
        <f aca="false">IF(COUNTIF(Final_CB_R8_V5!$B$8:$B$20345,A565)&gt;=1,"YES","NO")</f>
        <v>YES</v>
      </c>
      <c r="C565" s="3" t="s">
        <v>2428</v>
      </c>
      <c r="D565" s="3" t="str">
        <f aca="false">IF(COUNTIF(Final_CB_R8_V5!$C$8:$C$2345,C565)&gt;=1,"YES","NO")</f>
        <v>YES</v>
      </c>
    </row>
    <row r="566" customFormat="false" ht="15.75" hidden="false" customHeight="false" outlineLevel="0" collapsed="false">
      <c r="A566" s="3" t="s">
        <v>2429</v>
      </c>
      <c r="B566" s="3" t="str">
        <f aca="false">IF(COUNTIF(Final_CB_R8_V5!$B$8:$B$20345,A566)&gt;=1,"YES","NO")</f>
        <v>YES</v>
      </c>
      <c r="C566" s="3" t="s">
        <v>2430</v>
      </c>
      <c r="D566" s="3" t="str">
        <f aca="false">IF(COUNTIF(Final_CB_R8_V5!$C$8:$C$2345,C566)&gt;=1,"YES","NO")</f>
        <v>YES</v>
      </c>
    </row>
    <row r="567" customFormat="false" ht="15.75" hidden="false" customHeight="false" outlineLevel="0" collapsed="false">
      <c r="A567" s="3" t="s">
        <v>2431</v>
      </c>
      <c r="B567" s="3" t="str">
        <f aca="false">IF(COUNTIF(Final_CB_R8_V5!$B$8:$B$20345,A567)&gt;=1,"YES","NO")</f>
        <v>YES</v>
      </c>
      <c r="C567" s="3" t="s">
        <v>2432</v>
      </c>
      <c r="D567" s="3" t="str">
        <f aca="false">IF(COUNTIF(Final_CB_R8_V5!$C$8:$C$2345,C567)&gt;=1,"YES","NO")</f>
        <v>YES</v>
      </c>
    </row>
    <row r="568" customFormat="false" ht="15.75" hidden="false" customHeight="false" outlineLevel="0" collapsed="false">
      <c r="A568" s="3" t="s">
        <v>2433</v>
      </c>
      <c r="B568" s="3" t="str">
        <f aca="false">IF(COUNTIF(Final_CB_R8_V5!$B$8:$B$20345,A568)&gt;=1,"YES","NO")</f>
        <v>YES</v>
      </c>
      <c r="C568" s="3" t="s">
        <v>2434</v>
      </c>
      <c r="D568" s="3" t="str">
        <f aca="false">IF(COUNTIF(Final_CB_R8_V5!$C$8:$C$2345,C568)&gt;=1,"YES","NO")</f>
        <v>YES</v>
      </c>
    </row>
    <row r="569" customFormat="false" ht="15.75" hidden="false" customHeight="false" outlineLevel="0" collapsed="false">
      <c r="A569" s="3" t="s">
        <v>2435</v>
      </c>
      <c r="B569" s="3" t="str">
        <f aca="false">IF(COUNTIF(Final_CB_R8_V5!$B$8:$B$20345,A569)&gt;=1,"YES","NO")</f>
        <v>YES</v>
      </c>
      <c r="C569" s="3" t="s">
        <v>2436</v>
      </c>
      <c r="D569" s="3" t="str">
        <f aca="false">IF(COUNTIF(Final_CB_R8_V5!$C$8:$C$2345,C569)&gt;=1,"YES","NO")</f>
        <v>YES</v>
      </c>
    </row>
    <row r="570" customFormat="false" ht="15.75" hidden="false" customHeight="false" outlineLevel="0" collapsed="false">
      <c r="A570" s="3" t="s">
        <v>2437</v>
      </c>
      <c r="B570" s="3" t="str">
        <f aca="false">IF(COUNTIF(Final_CB_R8_V5!$B$8:$B$20345,A570)&gt;=1,"YES","NO")</f>
        <v>YES</v>
      </c>
      <c r="C570" s="3" t="s">
        <v>2438</v>
      </c>
      <c r="D570" s="3" t="str">
        <f aca="false">IF(COUNTIF(Final_CB_R8_V5!$C$8:$C$2345,C570)&gt;=1,"YES","NO")</f>
        <v>YES</v>
      </c>
    </row>
    <row r="571" customFormat="false" ht="15.75" hidden="false" customHeight="false" outlineLevel="0" collapsed="false">
      <c r="A571" s="3" t="s">
        <v>2439</v>
      </c>
      <c r="B571" s="3" t="str">
        <f aca="false">IF(COUNTIF(Final_CB_R8_V5!$B$8:$B$20345,A571)&gt;=1,"YES","NO")</f>
        <v>YES</v>
      </c>
      <c r="C571" s="3" t="s">
        <v>2440</v>
      </c>
      <c r="D571" s="3" t="str">
        <f aca="false">IF(COUNTIF(Final_CB_R8_V5!$C$8:$C$2345,C571)&gt;=1,"YES","NO")</f>
        <v>YES</v>
      </c>
    </row>
    <row r="572" customFormat="false" ht="15.75" hidden="false" customHeight="false" outlineLevel="0" collapsed="false">
      <c r="A572" s="3" t="s">
        <v>2441</v>
      </c>
      <c r="B572" s="3" t="str">
        <f aca="false">IF(COUNTIF(Final_CB_R8_V5!$B$8:$B$20345,A572)&gt;=1,"YES","NO")</f>
        <v>YES</v>
      </c>
      <c r="C572" s="3" t="s">
        <v>2442</v>
      </c>
      <c r="D572" s="3" t="str">
        <f aca="false">IF(COUNTIF(Final_CB_R8_V5!$C$8:$C$2345,C572)&gt;=1,"YES","NO")</f>
        <v>YES</v>
      </c>
    </row>
    <row r="573" customFormat="false" ht="15.75" hidden="false" customHeight="false" outlineLevel="0" collapsed="false">
      <c r="A573" s="3" t="s">
        <v>2443</v>
      </c>
      <c r="B573" s="3" t="str">
        <f aca="false">IF(COUNTIF(Final_CB_R8_V5!$B$8:$B$20345,A573)&gt;=1,"YES","NO")</f>
        <v>YES</v>
      </c>
      <c r="C573" s="3" t="s">
        <v>2260</v>
      </c>
      <c r="D573" s="3" t="str">
        <f aca="false">IF(COUNTIF(Final_CB_R8_V5!$C$8:$C$2345,C573)&gt;=1,"YES","NO")</f>
        <v>YES</v>
      </c>
    </row>
    <row r="574" customFormat="false" ht="15.75" hidden="false" customHeight="false" outlineLevel="0" collapsed="false">
      <c r="A574" s="3" t="s">
        <v>2444</v>
      </c>
      <c r="B574" s="3" t="str">
        <f aca="false">IF(COUNTIF(Final_CB_R8_V5!$B$8:$B$20345,A574)&gt;=1,"YES","NO")</f>
        <v>YES</v>
      </c>
      <c r="C574" s="3" t="s">
        <v>2445</v>
      </c>
      <c r="D574" s="3" t="str">
        <f aca="false">IF(COUNTIF(Final_CB_R8_V5!$C$8:$C$2345,C574)&gt;=1,"YES","NO")</f>
        <v>YES</v>
      </c>
    </row>
    <row r="575" customFormat="false" ht="15.75" hidden="false" customHeight="false" outlineLevel="0" collapsed="false">
      <c r="A575" s="3" t="s">
        <v>2446</v>
      </c>
      <c r="B575" s="3" t="str">
        <f aca="false">IF(COUNTIF(Final_CB_R8_V5!$B$8:$B$20345,A575)&gt;=1,"YES","NO")</f>
        <v>YES</v>
      </c>
      <c r="C575" s="3" t="s">
        <v>2447</v>
      </c>
      <c r="D575" s="3" t="str">
        <f aca="false">IF(COUNTIF(Final_CB_R8_V5!$C$8:$C$2345,C575)&gt;=1,"YES","NO")</f>
        <v>YES</v>
      </c>
    </row>
    <row r="576" customFormat="false" ht="15.75" hidden="false" customHeight="false" outlineLevel="0" collapsed="false">
      <c r="A576" s="3" t="s">
        <v>2448</v>
      </c>
      <c r="B576" s="3" t="str">
        <f aca="false">IF(COUNTIF(Final_CB_R8_V5!$B$8:$B$20345,A576)&gt;=1,"YES","NO")</f>
        <v>YES</v>
      </c>
      <c r="C576" s="3" t="s">
        <v>2449</v>
      </c>
      <c r="D576" s="3" t="str">
        <f aca="false">IF(COUNTIF(Final_CB_R8_V5!$C$8:$C$2345,C576)&gt;=1,"YES","NO")</f>
        <v>YES</v>
      </c>
    </row>
    <row r="577" customFormat="false" ht="15.75" hidden="false" customHeight="false" outlineLevel="0" collapsed="false">
      <c r="A577" s="3" t="s">
        <v>2450</v>
      </c>
      <c r="B577" s="3" t="str">
        <f aca="false">IF(COUNTIF(Final_CB_R8_V5!$B$8:$B$20345,A577)&gt;=1,"YES","NO")</f>
        <v>YES</v>
      </c>
      <c r="C577" s="3" t="s">
        <v>2262</v>
      </c>
      <c r="D577" s="3" t="str">
        <f aca="false">IF(COUNTIF(Final_CB_R8_V5!$C$8:$C$2345,C577)&gt;=1,"YES","NO")</f>
        <v>YES</v>
      </c>
    </row>
    <row r="578" customFormat="false" ht="15.75" hidden="false" customHeight="false" outlineLevel="0" collapsed="false">
      <c r="A578" s="3" t="s">
        <v>2451</v>
      </c>
      <c r="B578" s="3" t="str">
        <f aca="false">IF(COUNTIF(Final_CB_R8_V5!$B$8:$B$20345,A578)&gt;=1,"YES","NO")</f>
        <v>YES</v>
      </c>
      <c r="C578" s="3" t="s">
        <v>2452</v>
      </c>
      <c r="D578" s="3" t="str">
        <f aca="false">IF(COUNTIF(Final_CB_R8_V5!$C$8:$C$2345,C578)&gt;=1,"YES","NO")</f>
        <v>YES</v>
      </c>
    </row>
    <row r="579" customFormat="false" ht="15.75" hidden="false" customHeight="false" outlineLevel="0" collapsed="false">
      <c r="A579" s="3" t="s">
        <v>2453</v>
      </c>
      <c r="B579" s="3" t="str">
        <f aca="false">IF(COUNTIF(Final_CB_R8_V5!$B$8:$B$20345,A579)&gt;=1,"YES","NO")</f>
        <v>YES</v>
      </c>
      <c r="C579" s="3" t="s">
        <v>2272</v>
      </c>
      <c r="D579" s="3" t="str">
        <f aca="false">IF(COUNTIF(Final_CB_R8_V5!$C$8:$C$2345,C579)&gt;=1,"YES","NO")</f>
        <v>YES</v>
      </c>
    </row>
    <row r="580" customFormat="false" ht="15.75" hidden="false" customHeight="false" outlineLevel="0" collapsed="false">
      <c r="A580" s="3" t="s">
        <v>2454</v>
      </c>
      <c r="B580" s="3" t="str">
        <f aca="false">IF(COUNTIF(Final_CB_R8_V5!$B$8:$B$20345,A580)&gt;=1,"YES","NO")</f>
        <v>YES</v>
      </c>
      <c r="C580" s="3" t="s">
        <v>2455</v>
      </c>
      <c r="D580" s="3" t="str">
        <f aca="false">IF(COUNTIF(Final_CB_R8_V5!$C$8:$C$2345,C580)&gt;=1,"YES","NO")</f>
        <v>YES</v>
      </c>
    </row>
    <row r="581" customFormat="false" ht="15.75" hidden="false" customHeight="false" outlineLevel="0" collapsed="false">
      <c r="A581" s="3" t="s">
        <v>2456</v>
      </c>
      <c r="B581" s="3" t="str">
        <f aca="false">IF(COUNTIF(Final_CB_R8_V5!$B$8:$B$20345,A581)&gt;=1,"YES","NO")</f>
        <v>YES</v>
      </c>
      <c r="C581" s="3" t="s">
        <v>2274</v>
      </c>
      <c r="D581" s="3" t="str">
        <f aca="false">IF(COUNTIF(Final_CB_R8_V5!$C$8:$C$2345,C581)&gt;=1,"YES","NO")</f>
        <v>YES</v>
      </c>
    </row>
    <row r="582" customFormat="false" ht="15.75" hidden="false" customHeight="false" outlineLevel="0" collapsed="false">
      <c r="A582" s="3" t="s">
        <v>2457</v>
      </c>
      <c r="B582" s="3" t="str">
        <f aca="false">IF(COUNTIF(Final_CB_R8_V5!$B$8:$B$20345,A582)&gt;=1,"YES","NO")</f>
        <v>YES</v>
      </c>
      <c r="C582" s="3" t="s">
        <v>2276</v>
      </c>
      <c r="D582" s="3" t="str">
        <f aca="false">IF(COUNTIF(Final_CB_R8_V5!$C$8:$C$2345,C582)&gt;=1,"YES","NO")</f>
        <v>YES</v>
      </c>
    </row>
    <row r="583" customFormat="false" ht="15.75" hidden="false" customHeight="false" outlineLevel="0" collapsed="false">
      <c r="A583" s="3" t="s">
        <v>2458</v>
      </c>
      <c r="B583" s="3" t="str">
        <f aca="false">IF(COUNTIF(Final_CB_R8_V5!$B$8:$B$20345,A583)&gt;=1,"YES","NO")</f>
        <v>YES</v>
      </c>
      <c r="C583" s="3" t="s">
        <v>2278</v>
      </c>
      <c r="D583" s="3" t="str">
        <f aca="false">IF(COUNTIF(Final_CB_R8_V5!$C$8:$C$2345,C583)&gt;=1,"YES","NO")</f>
        <v>YES</v>
      </c>
    </row>
    <row r="584" customFormat="false" ht="15.75" hidden="false" customHeight="false" outlineLevel="0" collapsed="false">
      <c r="A584" s="3" t="s">
        <v>2459</v>
      </c>
      <c r="B584" s="3" t="str">
        <f aca="false">IF(COUNTIF(Final_CB_R8_V5!$B$8:$B$20345,A584)&gt;=1,"YES","NO")</f>
        <v>YES</v>
      </c>
      <c r="C584" s="3" t="s">
        <v>2460</v>
      </c>
      <c r="D584" s="3" t="str">
        <f aca="false">IF(COUNTIF(Final_CB_R8_V5!$C$8:$C$2345,C584)&gt;=1,"YES","NO")</f>
        <v>YES</v>
      </c>
    </row>
    <row r="585" customFormat="false" ht="15.75" hidden="false" customHeight="false" outlineLevel="0" collapsed="false">
      <c r="A585" s="3" t="s">
        <v>2461</v>
      </c>
      <c r="B585" s="3" t="str">
        <f aca="false">IF(COUNTIF(Final_CB_R8_V5!$B$8:$B$20345,A585)&gt;=1,"YES","NO")</f>
        <v>YES</v>
      </c>
      <c r="C585" s="3" t="s">
        <v>2462</v>
      </c>
      <c r="D585" s="3" t="str">
        <f aca="false">IF(COUNTIF(Final_CB_R8_V5!$C$8:$C$2345,C585)&gt;=1,"YES","NO")</f>
        <v>YES</v>
      </c>
    </row>
    <row r="586" customFormat="false" ht="15.75" hidden="false" customHeight="false" outlineLevel="0" collapsed="false">
      <c r="A586" s="3" t="s">
        <v>2463</v>
      </c>
      <c r="B586" s="3" t="str">
        <f aca="false">IF(COUNTIF(Final_CB_R8_V5!$B$8:$B$20345,A586)&gt;=1,"YES","NO")</f>
        <v>YES</v>
      </c>
      <c r="C586" s="3" t="s">
        <v>2280</v>
      </c>
      <c r="D586" s="3" t="str">
        <f aca="false">IF(COUNTIF(Final_CB_R8_V5!$C$8:$C$2345,C586)&gt;=1,"YES","NO")</f>
        <v>YES</v>
      </c>
    </row>
    <row r="587" customFormat="false" ht="15.75" hidden="false" customHeight="false" outlineLevel="0" collapsed="false">
      <c r="A587" s="3" t="s">
        <v>2464</v>
      </c>
      <c r="B587" s="3" t="str">
        <f aca="false">IF(COUNTIF(Final_CB_R8_V5!$B$8:$B$20345,A587)&gt;=1,"YES","NO")</f>
        <v>YES</v>
      </c>
      <c r="C587" s="3" t="s">
        <v>2465</v>
      </c>
      <c r="D587" s="3" t="str">
        <f aca="false">IF(COUNTIF(Final_CB_R8_V5!$C$8:$C$2345,C587)&gt;=1,"YES","NO")</f>
        <v>YES</v>
      </c>
    </row>
    <row r="588" customFormat="false" ht="15.75" hidden="false" customHeight="false" outlineLevel="0" collapsed="false">
      <c r="A588" s="3" t="s">
        <v>2466</v>
      </c>
      <c r="B588" s="3" t="str">
        <f aca="false">IF(COUNTIF(Final_CB_R8_V5!$B$8:$B$20345,A588)&gt;=1,"YES","NO")</f>
        <v>YES</v>
      </c>
      <c r="C588" s="3" t="s">
        <v>2467</v>
      </c>
      <c r="D588" s="3" t="str">
        <f aca="false">IF(COUNTIF(Final_CB_R8_V5!$C$8:$C$2345,C588)&gt;=1,"YES","NO")</f>
        <v>YES</v>
      </c>
    </row>
    <row r="589" customFormat="false" ht="15.75" hidden="false" customHeight="false" outlineLevel="0" collapsed="false">
      <c r="A589" s="3" t="s">
        <v>2468</v>
      </c>
      <c r="B589" s="3" t="str">
        <f aca="false">IF(COUNTIF(Final_CB_R8_V5!$B$8:$B$20345,A589)&gt;=1,"YES","NO")</f>
        <v>YES</v>
      </c>
      <c r="C589" s="3" t="s">
        <v>2469</v>
      </c>
      <c r="D589" s="3" t="str">
        <f aca="false">IF(COUNTIF(Final_CB_R8_V5!$C$8:$C$2345,C589)&gt;=1,"YES","NO")</f>
        <v>YES</v>
      </c>
    </row>
    <row r="590" customFormat="false" ht="15.75" hidden="false" customHeight="false" outlineLevel="0" collapsed="false">
      <c r="A590" s="3" t="s">
        <v>2470</v>
      </c>
      <c r="B590" s="3" t="str">
        <f aca="false">IF(COUNTIF(Final_CB_R8_V5!$B$8:$B$20345,A590)&gt;=1,"YES","NO")</f>
        <v>YES</v>
      </c>
      <c r="C590" s="3" t="s">
        <v>2471</v>
      </c>
      <c r="D590" s="3" t="str">
        <f aca="false">IF(COUNTIF(Final_CB_R8_V5!$C$8:$C$2345,C590)&gt;=1,"YES","NO")</f>
        <v>YES</v>
      </c>
    </row>
    <row r="591" customFormat="false" ht="15.75" hidden="false" customHeight="false" outlineLevel="0" collapsed="false">
      <c r="A591" s="3" t="s">
        <v>2472</v>
      </c>
      <c r="B591" s="3" t="str">
        <f aca="false">IF(COUNTIF(Final_CB_R8_V5!$B$8:$B$20345,A591)&gt;=1,"YES","NO")</f>
        <v>YES</v>
      </c>
      <c r="C591" s="3" t="s">
        <v>2282</v>
      </c>
      <c r="D591" s="3" t="str">
        <f aca="false">IF(COUNTIF(Final_CB_R8_V5!$C$8:$C$2345,C591)&gt;=1,"YES","NO")</f>
        <v>YES</v>
      </c>
    </row>
    <row r="592" customFormat="false" ht="15.75" hidden="false" customHeight="false" outlineLevel="0" collapsed="false">
      <c r="A592" s="3" t="s">
        <v>2473</v>
      </c>
      <c r="B592" s="3" t="str">
        <f aca="false">IF(COUNTIF(Final_CB_R8_V5!$B$8:$B$20345,A592)&gt;=1,"YES","NO")</f>
        <v>YES</v>
      </c>
      <c r="C592" s="3" t="s">
        <v>2474</v>
      </c>
      <c r="D592" s="3" t="str">
        <f aca="false">IF(COUNTIF(Final_CB_R8_V5!$C$8:$C$2345,C592)&gt;=1,"YES","NO")</f>
        <v>YES</v>
      </c>
    </row>
    <row r="593" customFormat="false" ht="15.75" hidden="false" customHeight="false" outlineLevel="0" collapsed="false">
      <c r="A593" s="3" t="s">
        <v>2475</v>
      </c>
      <c r="B593" s="3" t="str">
        <f aca="false">IF(COUNTIF(Final_CB_R8_V5!$B$8:$B$20345,A593)&gt;=1,"YES","NO")</f>
        <v>YES</v>
      </c>
      <c r="C593" s="3" t="s">
        <v>2476</v>
      </c>
      <c r="D593" s="3" t="str">
        <f aca="false">IF(COUNTIF(Final_CB_R8_V5!$C$8:$C$2345,C593)&gt;=1,"YES","NO")</f>
        <v>YES</v>
      </c>
    </row>
    <row r="594" customFormat="false" ht="15.75" hidden="false" customHeight="false" outlineLevel="0" collapsed="false">
      <c r="A594" s="3" t="s">
        <v>2477</v>
      </c>
      <c r="B594" s="3" t="str">
        <f aca="false">IF(COUNTIF(Final_CB_R8_V5!$B$8:$B$20345,A594)&gt;=1,"YES","NO")</f>
        <v>YES</v>
      </c>
      <c r="C594" s="3" t="s">
        <v>2478</v>
      </c>
      <c r="D594" s="3" t="str">
        <f aca="false">IF(COUNTIF(Final_CB_R8_V5!$C$8:$C$2345,C594)&gt;=1,"YES","NO")</f>
        <v>YES</v>
      </c>
    </row>
    <row r="595" customFormat="false" ht="15.75" hidden="false" customHeight="false" outlineLevel="0" collapsed="false">
      <c r="A595" s="3" t="s">
        <v>2479</v>
      </c>
      <c r="B595" s="3" t="str">
        <f aca="false">IF(COUNTIF(Final_CB_R8_V5!$B$8:$B$20345,A595)&gt;=1,"YES","NO")</f>
        <v>YES</v>
      </c>
      <c r="C595" s="3" t="s">
        <v>2284</v>
      </c>
      <c r="D595" s="3" t="str">
        <f aca="false">IF(COUNTIF(Final_CB_R8_V5!$C$8:$C$2345,C595)&gt;=1,"YES","NO")</f>
        <v>YES</v>
      </c>
    </row>
    <row r="596" customFormat="false" ht="15.75" hidden="false" customHeight="false" outlineLevel="0" collapsed="false">
      <c r="A596" s="3" t="s">
        <v>2480</v>
      </c>
      <c r="B596" s="3" t="str">
        <f aca="false">IF(COUNTIF(Final_CB_R8_V5!$B$8:$B$20345,A596)&gt;=1,"YES","NO")</f>
        <v>YES</v>
      </c>
      <c r="C596" s="3" t="s">
        <v>2481</v>
      </c>
      <c r="D596" s="3" t="str">
        <f aca="false">IF(COUNTIF(Final_CB_R8_V5!$C$8:$C$2345,C596)&gt;=1,"YES","NO")</f>
        <v>YES</v>
      </c>
    </row>
    <row r="597" customFormat="false" ht="15.75" hidden="false" customHeight="false" outlineLevel="0" collapsed="false">
      <c r="A597" s="3" t="s">
        <v>2482</v>
      </c>
      <c r="B597" s="3" t="str">
        <f aca="false">IF(COUNTIF(Final_CB_R8_V5!$B$8:$B$20345,A597)&gt;=1,"YES","NO")</f>
        <v>YES</v>
      </c>
      <c r="C597" s="3" t="s">
        <v>2286</v>
      </c>
      <c r="D597" s="3" t="str">
        <f aca="false">IF(COUNTIF(Final_CB_R8_V5!$C$8:$C$2345,C597)&gt;=1,"YES","NO")</f>
        <v>YES</v>
      </c>
    </row>
    <row r="598" customFormat="false" ht="15.75" hidden="false" customHeight="false" outlineLevel="0" collapsed="false">
      <c r="A598" s="3" t="s">
        <v>2483</v>
      </c>
      <c r="B598" s="3" t="str">
        <f aca="false">IF(COUNTIF(Final_CB_R8_V5!$B$8:$B$20345,A598)&gt;=1,"YES","NO")</f>
        <v>YES</v>
      </c>
      <c r="C598" s="3" t="s">
        <v>2484</v>
      </c>
      <c r="D598" s="3" t="str">
        <f aca="false">IF(COUNTIF(Final_CB_R8_V5!$C$8:$C$2345,C598)&gt;=1,"YES","NO")</f>
        <v>YES</v>
      </c>
    </row>
    <row r="599" customFormat="false" ht="15.75" hidden="false" customHeight="false" outlineLevel="0" collapsed="false">
      <c r="A599" s="3" t="s">
        <v>2485</v>
      </c>
      <c r="B599" s="3" t="str">
        <f aca="false">IF(COUNTIF(Final_CB_R8_V5!$B$8:$B$20345,A599)&gt;=1,"YES","NO")</f>
        <v>YES</v>
      </c>
      <c r="C599" s="3" t="s">
        <v>2290</v>
      </c>
      <c r="D599" s="3" t="str">
        <f aca="false">IF(COUNTIF(Final_CB_R8_V5!$C$8:$C$2345,C599)&gt;=1,"YES","NO")</f>
        <v>YES</v>
      </c>
    </row>
    <row r="600" customFormat="false" ht="15.75" hidden="false" customHeight="false" outlineLevel="0" collapsed="false">
      <c r="A600" s="3" t="s">
        <v>2486</v>
      </c>
      <c r="B600" s="3" t="str">
        <f aca="false">IF(COUNTIF(Final_CB_R8_V5!$B$8:$B$20345,A600)&gt;=1,"YES","NO")</f>
        <v>YES</v>
      </c>
      <c r="C600" s="3" t="s">
        <v>2487</v>
      </c>
      <c r="D600" s="3" t="str">
        <f aca="false">IF(COUNTIF(Final_CB_R8_V5!$C$8:$C$2345,C600)&gt;=1,"YES","NO")</f>
        <v>YES</v>
      </c>
    </row>
    <row r="601" customFormat="false" ht="15.75" hidden="false" customHeight="false" outlineLevel="0" collapsed="false">
      <c r="A601" s="3" t="s">
        <v>2488</v>
      </c>
      <c r="B601" s="3" t="str">
        <f aca="false">IF(COUNTIF(Final_CB_R8_V5!$B$8:$B$20345,A601)&gt;=1,"YES","NO")</f>
        <v>YES</v>
      </c>
      <c r="C601" s="3" t="s">
        <v>2292</v>
      </c>
      <c r="D601" s="3" t="str">
        <f aca="false">IF(COUNTIF(Final_CB_R8_V5!$C$8:$C$2345,C601)&gt;=1,"YES","NO")</f>
        <v>YES</v>
      </c>
    </row>
    <row r="602" customFormat="false" ht="15.75" hidden="false" customHeight="false" outlineLevel="0" collapsed="false">
      <c r="A602" s="3" t="s">
        <v>2489</v>
      </c>
      <c r="B602" s="3" t="str">
        <f aca="false">IF(COUNTIF(Final_CB_R8_V5!$B$8:$B$20345,A602)&gt;=1,"YES","NO")</f>
        <v>YES</v>
      </c>
      <c r="C602" s="3" t="s">
        <v>2490</v>
      </c>
      <c r="D602" s="3" t="str">
        <f aca="false">IF(COUNTIF(Final_CB_R8_V5!$C$8:$C$2345,C602)&gt;=1,"YES","NO")</f>
        <v>YES</v>
      </c>
    </row>
    <row r="603" customFormat="false" ht="15.75" hidden="false" customHeight="false" outlineLevel="0" collapsed="false">
      <c r="A603" s="3" t="s">
        <v>2491</v>
      </c>
      <c r="B603" s="3" t="str">
        <f aca="false">IF(COUNTIF(Final_CB_R8_V5!$B$8:$B$20345,A603)&gt;=1,"YES","NO")</f>
        <v>YES</v>
      </c>
      <c r="C603" s="3" t="s">
        <v>2294</v>
      </c>
      <c r="D603" s="3" t="str">
        <f aca="false">IF(COUNTIF(Final_CB_R8_V5!$C$8:$C$2345,C603)&gt;=1,"YES","NO")</f>
        <v>YES</v>
      </c>
    </row>
    <row r="604" customFormat="false" ht="15.75" hidden="false" customHeight="false" outlineLevel="0" collapsed="false">
      <c r="A604" s="3" t="s">
        <v>2492</v>
      </c>
      <c r="B604" s="3" t="str">
        <f aca="false">IF(COUNTIF(Final_CB_R8_V5!$B$8:$B$20345,A604)&gt;=1,"YES","NO")</f>
        <v>YES</v>
      </c>
      <c r="C604" s="3" t="s">
        <v>2493</v>
      </c>
      <c r="D604" s="3" t="str">
        <f aca="false">IF(COUNTIF(Final_CB_R8_V5!$C$8:$C$2345,C604)&gt;=1,"YES","NO")</f>
        <v>YES</v>
      </c>
    </row>
    <row r="605" customFormat="false" ht="15.75" hidden="false" customHeight="false" outlineLevel="0" collapsed="false">
      <c r="A605" s="3" t="s">
        <v>2494</v>
      </c>
      <c r="B605" s="3" t="str">
        <f aca="false">IF(COUNTIF(Final_CB_R8_V5!$B$8:$B$20345,A605)&gt;=1,"YES","NO")</f>
        <v>YES</v>
      </c>
      <c r="C605" s="3" t="s">
        <v>2296</v>
      </c>
      <c r="D605" s="3" t="str">
        <f aca="false">IF(COUNTIF(Final_CB_R8_V5!$C$8:$C$2345,C605)&gt;=1,"YES","NO")</f>
        <v>YES</v>
      </c>
    </row>
    <row r="606" customFormat="false" ht="15.75" hidden="false" customHeight="false" outlineLevel="0" collapsed="false">
      <c r="A606" s="3" t="s">
        <v>2495</v>
      </c>
      <c r="B606" s="3" t="str">
        <f aca="false">IF(COUNTIF(Final_CB_R8_V5!$B$8:$B$20345,A606)&gt;=1,"YES","NO")</f>
        <v>YES</v>
      </c>
      <c r="C606" s="3" t="s">
        <v>2298</v>
      </c>
      <c r="D606" s="3" t="str">
        <f aca="false">IF(COUNTIF(Final_CB_R8_V5!$C$8:$C$2345,C606)&gt;=1,"YES","NO")</f>
        <v>YES</v>
      </c>
    </row>
    <row r="607" customFormat="false" ht="15.75" hidden="false" customHeight="false" outlineLevel="0" collapsed="false">
      <c r="A607" s="3" t="s">
        <v>2496</v>
      </c>
      <c r="B607" s="3" t="str">
        <f aca="false">IF(COUNTIF(Final_CB_R8_V5!$B$8:$B$20345,A607)&gt;=1,"YES","NO")</f>
        <v>YES</v>
      </c>
      <c r="C607" s="3" t="s">
        <v>2497</v>
      </c>
      <c r="D607" s="3" t="str">
        <f aca="false">IF(COUNTIF(Final_CB_R8_V5!$C$8:$C$2345,C607)&gt;=1,"YES","NO")</f>
        <v>YES</v>
      </c>
    </row>
    <row r="608" customFormat="false" ht="15.75" hidden="false" customHeight="false" outlineLevel="0" collapsed="false">
      <c r="A608" s="3" t="s">
        <v>2498</v>
      </c>
      <c r="B608" s="3" t="str">
        <f aca="false">IF(COUNTIF(Final_CB_R8_V5!$B$8:$B$20345,A608)&gt;=1,"YES","NO")</f>
        <v>YES</v>
      </c>
      <c r="C608" s="3" t="s">
        <v>2301</v>
      </c>
      <c r="D608" s="3" t="str">
        <f aca="false">IF(COUNTIF(Final_CB_R8_V5!$C$8:$C$2345,C608)&gt;=1,"YES","NO")</f>
        <v>YES</v>
      </c>
    </row>
    <row r="609" customFormat="false" ht="15.75" hidden="false" customHeight="false" outlineLevel="0" collapsed="false">
      <c r="A609" s="3" t="s">
        <v>2499</v>
      </c>
      <c r="B609" s="3" t="str">
        <f aca="false">IF(COUNTIF(Final_CB_R8_V5!$B$8:$B$20345,A609)&gt;=1,"YES","NO")</f>
        <v>YES</v>
      </c>
      <c r="C609" s="3" t="s">
        <v>2500</v>
      </c>
      <c r="D609" s="3" t="str">
        <f aca="false">IF(COUNTIF(Final_CB_R8_V5!$C$8:$C$2345,C609)&gt;=1,"YES","NO")</f>
        <v>YES</v>
      </c>
    </row>
    <row r="610" customFormat="false" ht="15.75" hidden="false" customHeight="false" outlineLevel="0" collapsed="false">
      <c r="A610" s="3" t="s">
        <v>2501</v>
      </c>
      <c r="B610" s="3" t="str">
        <f aca="false">IF(COUNTIF(Final_CB_R8_V5!$B$8:$B$20345,A610)&gt;=1,"YES","NO")</f>
        <v>YES</v>
      </c>
      <c r="C610" s="3" t="s">
        <v>2502</v>
      </c>
      <c r="D610" s="3" t="str">
        <f aca="false">IF(COUNTIF(Final_CB_R8_V5!$C$8:$C$2345,C610)&gt;=1,"YES","NO")</f>
        <v>YES</v>
      </c>
    </row>
    <row r="611" customFormat="false" ht="15.75" hidden="false" customHeight="false" outlineLevel="0" collapsed="false">
      <c r="A611" s="3" t="s">
        <v>2503</v>
      </c>
      <c r="B611" s="3" t="str">
        <f aca="false">IF(COUNTIF(Final_CB_R8_V5!$B$8:$B$20345,A611)&gt;=1,"YES","NO")</f>
        <v>YES</v>
      </c>
      <c r="C611" s="3" t="s">
        <v>2504</v>
      </c>
      <c r="D611" s="3" t="str">
        <f aca="false">IF(COUNTIF(Final_CB_R8_V5!$C$8:$C$2345,C611)&gt;=1,"YES","NO")</f>
        <v>YES</v>
      </c>
    </row>
    <row r="612" customFormat="false" ht="15.75" hidden="false" customHeight="false" outlineLevel="0" collapsed="false">
      <c r="A612" s="3" t="s">
        <v>2505</v>
      </c>
      <c r="B612" s="3" t="str">
        <f aca="false">IF(COUNTIF(Final_CB_R8_V5!$B$8:$B$20345,A612)&gt;=1,"YES","NO")</f>
        <v>YES</v>
      </c>
      <c r="C612" s="3" t="s">
        <v>2311</v>
      </c>
      <c r="D612" s="3" t="str">
        <f aca="false">IF(COUNTIF(Final_CB_R8_V5!$C$8:$C$2345,C612)&gt;=1,"YES","NO")</f>
        <v>YES</v>
      </c>
    </row>
    <row r="613" customFormat="false" ht="15.75" hidden="false" customHeight="false" outlineLevel="0" collapsed="false">
      <c r="A613" s="3" t="s">
        <v>2506</v>
      </c>
      <c r="B613" s="3" t="str">
        <f aca="false">IF(COUNTIF(Final_CB_R8_V5!$B$8:$B$20345,A613)&gt;=1,"YES","NO")</f>
        <v>YES</v>
      </c>
      <c r="C613" s="3" t="s">
        <v>2507</v>
      </c>
      <c r="D613" s="3" t="str">
        <f aca="false">IF(COUNTIF(Final_CB_R8_V5!$C$8:$C$2345,C613)&gt;=1,"YES","NO")</f>
        <v>YES</v>
      </c>
    </row>
    <row r="614" customFormat="false" ht="15.75" hidden="false" customHeight="false" outlineLevel="0" collapsed="false">
      <c r="A614" s="3" t="s">
        <v>2508</v>
      </c>
      <c r="B614" s="3" t="str">
        <f aca="false">IF(COUNTIF(Final_CB_R8_V5!$B$8:$B$20345,A614)&gt;=1,"YES","NO")</f>
        <v>YES</v>
      </c>
      <c r="C614" s="3" t="s">
        <v>2312</v>
      </c>
      <c r="D614" s="3" t="str">
        <f aca="false">IF(COUNTIF(Final_CB_R8_V5!$C$8:$C$2345,C614)&gt;=1,"YES","NO")</f>
        <v>YES</v>
      </c>
    </row>
    <row r="615" customFormat="false" ht="15.75" hidden="false" customHeight="false" outlineLevel="0" collapsed="false">
      <c r="A615" s="3" t="s">
        <v>2509</v>
      </c>
      <c r="B615" s="3" t="str">
        <f aca="false">IF(COUNTIF(Final_CB_R8_V5!$B$8:$B$20345,A615)&gt;=1,"YES","NO")</f>
        <v>YES</v>
      </c>
      <c r="C615" s="3" t="s">
        <v>2510</v>
      </c>
      <c r="D615" s="3" t="str">
        <f aca="false">IF(COUNTIF(Final_CB_R8_V5!$C$8:$C$2345,C615)&gt;=1,"YES","NO")</f>
        <v>YES</v>
      </c>
    </row>
    <row r="616" customFormat="false" ht="15.75" hidden="false" customHeight="false" outlineLevel="0" collapsed="false">
      <c r="A616" s="3" t="s">
        <v>2511</v>
      </c>
      <c r="B616" s="3" t="str">
        <f aca="false">IF(COUNTIF(Final_CB_R8_V5!$B$8:$B$20345,A616)&gt;=1,"YES","NO")</f>
        <v>YES</v>
      </c>
      <c r="C616" s="3" t="s">
        <v>2512</v>
      </c>
      <c r="D616" s="3" t="str">
        <f aca="false">IF(COUNTIF(Final_CB_R8_V5!$C$8:$C$2345,C616)&gt;=1,"YES","NO")</f>
        <v>YES</v>
      </c>
    </row>
    <row r="617" customFormat="false" ht="15.75" hidden="false" customHeight="false" outlineLevel="0" collapsed="false">
      <c r="A617" s="3" t="s">
        <v>2513</v>
      </c>
      <c r="B617" s="3" t="str">
        <f aca="false">IF(COUNTIF(Final_CB_R8_V5!$B$8:$B$20345,A617)&gt;=1,"YES","NO")</f>
        <v>YES</v>
      </c>
      <c r="C617" s="3" t="s">
        <v>2514</v>
      </c>
      <c r="D617" s="3" t="str">
        <f aca="false">IF(COUNTIF(Final_CB_R8_V5!$C$8:$C$2345,C617)&gt;=1,"YES","NO")</f>
        <v>YES</v>
      </c>
    </row>
    <row r="618" customFormat="false" ht="15.75" hidden="false" customHeight="false" outlineLevel="0" collapsed="false">
      <c r="A618" s="3" t="s">
        <v>2515</v>
      </c>
      <c r="B618" s="3" t="str">
        <f aca="false">IF(COUNTIF(Final_CB_R8_V5!$B$8:$B$20345,A618)&gt;=1,"YES","NO")</f>
        <v>YES</v>
      </c>
      <c r="C618" s="3" t="s">
        <v>2516</v>
      </c>
      <c r="D618" s="3" t="str">
        <f aca="false">IF(COUNTIF(Final_CB_R8_V5!$C$8:$C$2345,C618)&gt;=1,"YES","NO")</f>
        <v>YES</v>
      </c>
    </row>
    <row r="619" customFormat="false" ht="15.75" hidden="false" customHeight="false" outlineLevel="0" collapsed="false">
      <c r="A619" s="3" t="s">
        <v>2517</v>
      </c>
      <c r="B619" s="3" t="str">
        <f aca="false">IF(COUNTIF(Final_CB_R8_V5!$B$8:$B$20345,A619)&gt;=1,"YES","NO")</f>
        <v>YES</v>
      </c>
      <c r="C619" s="3" t="s">
        <v>2317</v>
      </c>
      <c r="D619" s="3" t="str">
        <f aca="false">IF(COUNTIF(Final_CB_R8_V5!$C$8:$C$2345,C619)&gt;=1,"YES","NO")</f>
        <v>YES</v>
      </c>
    </row>
    <row r="620" customFormat="false" ht="15.75" hidden="false" customHeight="false" outlineLevel="0" collapsed="false">
      <c r="A620" s="3" t="s">
        <v>2518</v>
      </c>
      <c r="B620" s="3" t="str">
        <f aca="false">IF(COUNTIF(Final_CB_R8_V5!$B$8:$B$20345,A620)&gt;=1,"YES","NO")</f>
        <v>YES</v>
      </c>
      <c r="C620" s="3" t="s">
        <v>2320</v>
      </c>
      <c r="D620" s="3" t="str">
        <f aca="false">IF(COUNTIF(Final_CB_R8_V5!$C$8:$C$2345,C620)&gt;=1,"YES","NO")</f>
        <v>YES</v>
      </c>
    </row>
    <row r="621" customFormat="false" ht="15.75" hidden="false" customHeight="false" outlineLevel="0" collapsed="false">
      <c r="A621" s="3" t="s">
        <v>2519</v>
      </c>
      <c r="B621" s="3" t="str">
        <f aca="false">IF(COUNTIF(Final_CB_R8_V5!$B$8:$B$20345,A621)&gt;=1,"YES","NO")</f>
        <v>YES</v>
      </c>
      <c r="C621" s="3" t="s">
        <v>2520</v>
      </c>
      <c r="D621" s="3" t="str">
        <f aca="false">IF(COUNTIF(Final_CB_R8_V5!$C$8:$C$2345,C621)&gt;=1,"YES","NO")</f>
        <v>YES</v>
      </c>
    </row>
    <row r="622" customFormat="false" ht="15.75" hidden="false" customHeight="false" outlineLevel="0" collapsed="false">
      <c r="A622" s="3" t="s">
        <v>2521</v>
      </c>
      <c r="B622" s="3" t="str">
        <f aca="false">IF(COUNTIF(Final_CB_R8_V5!$B$8:$B$20345,A622)&gt;=1,"YES","NO")</f>
        <v>YES</v>
      </c>
      <c r="C622" s="3" t="s">
        <v>2321</v>
      </c>
      <c r="D622" s="3" t="str">
        <f aca="false">IF(COUNTIF(Final_CB_R8_V5!$C$8:$C$2345,C622)&gt;=1,"YES","NO")</f>
        <v>YES</v>
      </c>
    </row>
    <row r="623" customFormat="false" ht="15.75" hidden="false" customHeight="false" outlineLevel="0" collapsed="false">
      <c r="A623" s="3" t="s">
        <v>2522</v>
      </c>
      <c r="B623" s="3" t="str">
        <f aca="false">IF(COUNTIF(Final_CB_R8_V5!$B$8:$B$20345,A623)&gt;=1,"YES","NO")</f>
        <v>YES</v>
      </c>
      <c r="C623" s="3" t="s">
        <v>2323</v>
      </c>
      <c r="D623" s="3" t="str">
        <f aca="false">IF(COUNTIF(Final_CB_R8_V5!$C$8:$C$2345,C623)&gt;=1,"YES","NO")</f>
        <v>YES</v>
      </c>
    </row>
    <row r="624" customFormat="false" ht="15.75" hidden="false" customHeight="false" outlineLevel="0" collapsed="false">
      <c r="A624" s="3" t="s">
        <v>2523</v>
      </c>
      <c r="B624" s="3" t="str">
        <f aca="false">IF(COUNTIF(Final_CB_R8_V5!$B$8:$B$20345,A624)&gt;=1,"YES","NO")</f>
        <v>YES</v>
      </c>
      <c r="C624" s="3" t="s">
        <v>2326</v>
      </c>
      <c r="D624" s="3" t="str">
        <f aca="false">IF(COUNTIF(Final_CB_R8_V5!$C$8:$C$2345,C624)&gt;=1,"YES","NO")</f>
        <v>YES</v>
      </c>
    </row>
    <row r="625" customFormat="false" ht="15.75" hidden="false" customHeight="false" outlineLevel="0" collapsed="false">
      <c r="A625" s="3" t="s">
        <v>2524</v>
      </c>
      <c r="B625" s="3" t="str">
        <f aca="false">IF(COUNTIF(Final_CB_R8_V5!$B$8:$B$20345,A625)&gt;=1,"YES","NO")</f>
        <v>YES</v>
      </c>
      <c r="C625" s="3" t="s">
        <v>2327</v>
      </c>
      <c r="D625" s="3" t="str">
        <f aca="false">IF(COUNTIF(Final_CB_R8_V5!$C$8:$C$2345,C625)&gt;=1,"YES","NO")</f>
        <v>YES</v>
      </c>
    </row>
    <row r="626" customFormat="false" ht="15.75" hidden="false" customHeight="false" outlineLevel="0" collapsed="false">
      <c r="A626" s="3" t="s">
        <v>2525</v>
      </c>
      <c r="B626" s="3" t="str">
        <f aca="false">IF(COUNTIF(Final_CB_R8_V5!$B$8:$B$20345,A626)&gt;=1,"YES","NO")</f>
        <v>YES</v>
      </c>
      <c r="C626" s="3" t="s">
        <v>2328</v>
      </c>
      <c r="D626" s="3" t="str">
        <f aca="false">IF(COUNTIF(Final_CB_R8_V5!$C$8:$C$2345,C626)&gt;=1,"YES","NO")</f>
        <v>YES</v>
      </c>
    </row>
    <row r="627" customFormat="false" ht="15.75" hidden="false" customHeight="false" outlineLevel="0" collapsed="false">
      <c r="A627" s="3" t="s">
        <v>2526</v>
      </c>
      <c r="B627" s="3" t="str">
        <f aca="false">IF(COUNTIF(Final_CB_R8_V5!$B$8:$B$20345,A627)&gt;=1,"YES","NO")</f>
        <v>YES</v>
      </c>
      <c r="C627" s="3" t="s">
        <v>2527</v>
      </c>
      <c r="D627" s="3" t="str">
        <f aca="false">IF(COUNTIF(Final_CB_R8_V5!$C$8:$C$2345,C627)&gt;=1,"YES","NO")</f>
        <v>YES</v>
      </c>
    </row>
    <row r="628" customFormat="false" ht="15.75" hidden="false" customHeight="false" outlineLevel="0" collapsed="false">
      <c r="A628" s="3" t="s">
        <v>2528</v>
      </c>
      <c r="B628" s="3" t="str">
        <f aca="false">IF(COUNTIF(Final_CB_R8_V5!$B$8:$B$20345,A628)&gt;=1,"YES","NO")</f>
        <v>YES</v>
      </c>
      <c r="C628" s="3" t="s">
        <v>2529</v>
      </c>
      <c r="D628" s="3" t="str">
        <f aca="false">IF(COUNTIF(Final_CB_R8_V5!$C$8:$C$2345,C628)&gt;=1,"YES","NO")</f>
        <v>YES</v>
      </c>
    </row>
    <row r="629" customFormat="false" ht="15.75" hidden="false" customHeight="false" outlineLevel="0" collapsed="false">
      <c r="A629" s="3" t="s">
        <v>2530</v>
      </c>
      <c r="B629" s="3" t="str">
        <f aca="false">IF(COUNTIF(Final_CB_R8_V5!$B$8:$B$20345,A629)&gt;=1,"YES","NO")</f>
        <v>YES</v>
      </c>
      <c r="C629" s="3" t="s">
        <v>2531</v>
      </c>
      <c r="D629" s="3" t="str">
        <f aca="false">IF(COUNTIF(Final_CB_R8_V5!$C$8:$C$2345,C629)&gt;=1,"YES","NO")</f>
        <v>YES</v>
      </c>
    </row>
    <row r="630" customFormat="false" ht="15.75" hidden="false" customHeight="false" outlineLevel="0" collapsed="false">
      <c r="A630" s="3" t="s">
        <v>2532</v>
      </c>
      <c r="B630" s="3" t="str">
        <f aca="false">IF(COUNTIF(Final_CB_R8_V5!$B$8:$B$20345,A630)&gt;=1,"YES","NO")</f>
        <v>YES</v>
      </c>
      <c r="C630" s="3" t="s">
        <v>2533</v>
      </c>
      <c r="D630" s="3" t="str">
        <f aca="false">IF(COUNTIF(Final_CB_R8_V5!$C$8:$C$2345,C630)&gt;=1,"YES","NO")</f>
        <v>YES</v>
      </c>
    </row>
    <row r="631" customFormat="false" ht="15.75" hidden="false" customHeight="false" outlineLevel="0" collapsed="false">
      <c r="A631" s="3" t="s">
        <v>2534</v>
      </c>
      <c r="B631" s="3" t="str">
        <f aca="false">IF(COUNTIF(Final_CB_R8_V5!$B$8:$B$20345,A631)&gt;=1,"YES","NO")</f>
        <v>YES</v>
      </c>
      <c r="C631" s="3" t="s">
        <v>2535</v>
      </c>
      <c r="D631" s="3" t="str">
        <f aca="false">IF(COUNTIF(Final_CB_R8_V5!$C$8:$C$2345,C631)&gt;=1,"YES","NO")</f>
        <v>YES</v>
      </c>
    </row>
    <row r="632" customFormat="false" ht="15.75" hidden="false" customHeight="false" outlineLevel="0" collapsed="false">
      <c r="A632" s="3" t="s">
        <v>2536</v>
      </c>
      <c r="B632" s="3" t="str">
        <f aca="false">IF(COUNTIF(Final_CB_R8_V5!$B$8:$B$20345,A632)&gt;=1,"YES","NO")</f>
        <v>YES</v>
      </c>
      <c r="C632" s="3" t="s">
        <v>2329</v>
      </c>
      <c r="D632" s="3" t="str">
        <f aca="false">IF(COUNTIF(Final_CB_R8_V5!$C$8:$C$2345,C632)&gt;=1,"YES","NO")</f>
        <v>YES</v>
      </c>
    </row>
    <row r="633" customFormat="false" ht="15.75" hidden="false" customHeight="false" outlineLevel="0" collapsed="false">
      <c r="A633" s="3" t="s">
        <v>2537</v>
      </c>
      <c r="B633" s="3" t="str">
        <f aca="false">IF(COUNTIF(Final_CB_R8_V5!$B$8:$B$20345,A633)&gt;=1,"YES","NO")</f>
        <v>YES</v>
      </c>
      <c r="C633" s="3" t="s">
        <v>2330</v>
      </c>
      <c r="D633" s="3" t="str">
        <f aca="false">IF(COUNTIF(Final_CB_R8_V5!$C$8:$C$2345,C633)&gt;=1,"YES","NO")</f>
        <v>YES</v>
      </c>
    </row>
    <row r="634" customFormat="false" ht="15.75" hidden="false" customHeight="false" outlineLevel="0" collapsed="false">
      <c r="A634" s="3" t="s">
        <v>2538</v>
      </c>
      <c r="B634" s="3" t="str">
        <f aca="false">IF(COUNTIF(Final_CB_R8_V5!$B$8:$B$20345,A634)&gt;=1,"YES","NO")</f>
        <v>YES</v>
      </c>
      <c r="C634" s="3" t="s">
        <v>2331</v>
      </c>
      <c r="D634" s="3" t="str">
        <f aca="false">IF(COUNTIF(Final_CB_R8_V5!$C$8:$C$2345,C634)&gt;=1,"YES","NO")</f>
        <v>YES</v>
      </c>
    </row>
    <row r="635" customFormat="false" ht="15.75" hidden="false" customHeight="false" outlineLevel="0" collapsed="false">
      <c r="A635" s="3" t="s">
        <v>2539</v>
      </c>
      <c r="B635" s="3" t="str">
        <f aca="false">IF(COUNTIF(Final_CB_R8_V5!$B$8:$B$20345,A635)&gt;=1,"YES","NO")</f>
        <v>YES</v>
      </c>
      <c r="C635" s="3" t="s">
        <v>2333</v>
      </c>
      <c r="D635" s="3" t="str">
        <f aca="false">IF(COUNTIF(Final_CB_R8_V5!$C$8:$C$2345,C635)&gt;=1,"YES","NO")</f>
        <v>YES</v>
      </c>
    </row>
    <row r="636" customFormat="false" ht="15.75" hidden="false" customHeight="false" outlineLevel="0" collapsed="false">
      <c r="A636" s="3" t="s">
        <v>2540</v>
      </c>
      <c r="B636" s="3" t="str">
        <f aca="false">IF(COUNTIF(Final_CB_R8_V5!$B$8:$B$20345,A636)&gt;=1,"YES","NO")</f>
        <v>YES</v>
      </c>
      <c r="C636" s="3" t="s">
        <v>2541</v>
      </c>
      <c r="D636" s="3" t="str">
        <f aca="false">IF(COUNTIF(Final_CB_R8_V5!$C$8:$C$2345,C636)&gt;=1,"YES","NO")</f>
        <v>YES</v>
      </c>
    </row>
    <row r="637" customFormat="false" ht="15.75" hidden="false" customHeight="false" outlineLevel="0" collapsed="false">
      <c r="A637" s="3" t="s">
        <v>2542</v>
      </c>
      <c r="B637" s="3" t="str">
        <f aca="false">IF(COUNTIF(Final_CB_R8_V5!$B$8:$B$20345,A637)&gt;=1,"YES","NO")</f>
        <v>YES</v>
      </c>
      <c r="C637" s="3" t="s">
        <v>2341</v>
      </c>
      <c r="D637" s="3" t="str">
        <f aca="false">IF(COUNTIF(Final_CB_R8_V5!$C$8:$C$2345,C637)&gt;=1,"YES","NO")</f>
        <v>YES</v>
      </c>
    </row>
    <row r="638" customFormat="false" ht="15.75" hidden="false" customHeight="false" outlineLevel="0" collapsed="false">
      <c r="A638" s="3" t="s">
        <v>648</v>
      </c>
      <c r="B638" s="3" t="str">
        <f aca="false">IF(COUNTIF(Final_CB_R8_V5!$B$8:$B$20345,A638)&gt;=1,"YES","NO")</f>
        <v>YES</v>
      </c>
      <c r="C638" s="3" t="s">
        <v>2346</v>
      </c>
      <c r="D638" s="3" t="str">
        <f aca="false">IF(COUNTIF(Final_CB_R8_V5!$C$8:$C$2345,C638)&gt;=1,"YES","NO")</f>
        <v>YES</v>
      </c>
    </row>
    <row r="639" customFormat="false" ht="15.75" hidden="false" customHeight="false" outlineLevel="0" collapsed="false">
      <c r="B639" s="3" t="str">
        <f aca="false">IF(COUNTIF(Final_CB_R8_V5!$B$8:$B$20345,A639)&gt;=1,"YES","NO")</f>
        <v>NO</v>
      </c>
      <c r="C639" s="3" t="s">
        <v>2543</v>
      </c>
      <c r="D639" s="3" t="str">
        <f aca="false">IF(COUNTIF(Final_CB_R8_V5!$C$8:$C$2345,C639)&gt;=1,"YES","NO")</f>
        <v>YES</v>
      </c>
    </row>
    <row r="640" customFormat="false" ht="15.75" hidden="false" customHeight="false" outlineLevel="0" collapsed="false">
      <c r="B640" s="3" t="str">
        <f aca="false">IF(COUNTIF(Final_CB_R8_V5!$B$8:$B$20345,A640)&gt;=1,"YES","NO")</f>
        <v>NO</v>
      </c>
      <c r="C640" s="3" t="s">
        <v>2356</v>
      </c>
      <c r="D640" s="3" t="str">
        <f aca="false">IF(COUNTIF(Final_CB_R8_V5!$C$8:$C$2345,C640)&gt;=1,"YES","NO")</f>
        <v>YES</v>
      </c>
    </row>
    <row r="641" customFormat="false" ht="15.75" hidden="false" customHeight="false" outlineLevel="0" collapsed="false">
      <c r="B641" s="3" t="str">
        <f aca="false">IF(COUNTIF(Final_CB_R8_V5!$B$8:$B$20345,A641)&gt;=1,"YES","NO")</f>
        <v>NO</v>
      </c>
      <c r="C641" s="3" t="s">
        <v>2358</v>
      </c>
      <c r="D641" s="3" t="str">
        <f aca="false">IF(COUNTIF(Final_CB_R8_V5!$C$8:$C$2345,C641)&gt;=1,"YES","NO")</f>
        <v>YES</v>
      </c>
    </row>
    <row r="642" customFormat="false" ht="15.75" hidden="false" customHeight="false" outlineLevel="0" collapsed="false">
      <c r="B642" s="3" t="str">
        <f aca="false">IF(COUNTIF(Final_CB_R8_V5!$B$8:$B$20345,A642)&gt;=1,"YES","NO")</f>
        <v>NO</v>
      </c>
      <c r="C642" s="3" t="s">
        <v>2544</v>
      </c>
      <c r="D642" s="3" t="str">
        <f aca="false">IF(COUNTIF(Final_CB_R8_V5!$C$8:$C$2345,C642)&gt;=1,"YES","NO")</f>
        <v>YES</v>
      </c>
    </row>
    <row r="643" customFormat="false" ht="15.75" hidden="false" customHeight="false" outlineLevel="0" collapsed="false">
      <c r="B643" s="3" t="str">
        <f aca="false">IF(COUNTIF(Final_CB_R8_V5!$B$8:$B$20345,A643)&gt;=1,"YES","NO")</f>
        <v>NO</v>
      </c>
      <c r="C643" s="3" t="s">
        <v>2365</v>
      </c>
      <c r="D643" s="3" t="str">
        <f aca="false">IF(COUNTIF(Final_CB_R8_V5!$C$8:$C$2345,C643)&gt;=1,"YES","NO")</f>
        <v>YES</v>
      </c>
    </row>
    <row r="644" customFormat="false" ht="15.75" hidden="false" customHeight="false" outlineLevel="0" collapsed="false">
      <c r="B644" s="3" t="str">
        <f aca="false">IF(COUNTIF(Final_CB_R8_V5!$B$8:$B$20345,A644)&gt;=1,"YES","NO")</f>
        <v>NO</v>
      </c>
      <c r="C644" s="3" t="s">
        <v>2371</v>
      </c>
      <c r="D644" s="3" t="str">
        <f aca="false">IF(COUNTIF(Final_CB_R8_V5!$C$8:$C$2345,C644)&gt;=1,"YES","NO")</f>
        <v>YES</v>
      </c>
    </row>
    <row r="645" customFormat="false" ht="15.75" hidden="false" customHeight="false" outlineLevel="0" collapsed="false">
      <c r="B645" s="3" t="str">
        <f aca="false">IF(COUNTIF(Final_CB_R8_V5!$B$8:$B$20345,A645)&gt;=1,"YES","NO")</f>
        <v>NO</v>
      </c>
      <c r="C645" s="3" t="s">
        <v>2373</v>
      </c>
      <c r="D645" s="3" t="str">
        <f aca="false">IF(COUNTIF(Final_CB_R8_V5!$C$8:$C$2345,C645)&gt;=1,"YES","NO")</f>
        <v>YES</v>
      </c>
    </row>
    <row r="646" customFormat="false" ht="15.75" hidden="false" customHeight="false" outlineLevel="0" collapsed="false">
      <c r="B646" s="3" t="str">
        <f aca="false">IF(COUNTIF(Final_CB_R8_V5!$B$8:$B$20345,A646)&gt;=1,"YES","NO")</f>
        <v>NO</v>
      </c>
      <c r="C646" s="3" t="s">
        <v>2375</v>
      </c>
      <c r="D646" s="3" t="str">
        <f aca="false">IF(COUNTIF(Final_CB_R8_V5!$C$8:$C$2345,C646)&gt;=1,"YES","NO")</f>
        <v>YES</v>
      </c>
    </row>
    <row r="647" customFormat="false" ht="15.75" hidden="false" customHeight="false" outlineLevel="0" collapsed="false">
      <c r="B647" s="3" t="str">
        <f aca="false">IF(COUNTIF(Final_CB_R8_V5!$B$8:$B$20345,A647)&gt;=1,"YES","NO")</f>
        <v>NO</v>
      </c>
      <c r="C647" s="3" t="s">
        <v>2379</v>
      </c>
      <c r="D647" s="3" t="str">
        <f aca="false">IF(COUNTIF(Final_CB_R8_V5!$C$8:$C$2345,C647)&gt;=1,"YES","NO")</f>
        <v>YES</v>
      </c>
    </row>
    <row r="648" customFormat="false" ht="15.75" hidden="false" customHeight="false" outlineLevel="0" collapsed="false">
      <c r="B648" s="3" t="str">
        <f aca="false">IF(COUNTIF(Final_CB_R8_V5!$B$8:$B$20345,A648)&gt;=1,"YES","NO")</f>
        <v>NO</v>
      </c>
      <c r="C648" s="3" t="s">
        <v>2381</v>
      </c>
      <c r="D648" s="3" t="str">
        <f aca="false">IF(COUNTIF(Final_CB_R8_V5!$C$8:$C$2345,C648)&gt;=1,"YES","NO")</f>
        <v>YES</v>
      </c>
    </row>
    <row r="649" customFormat="false" ht="15.75" hidden="false" customHeight="false" outlineLevel="0" collapsed="false">
      <c r="B649" s="3" t="str">
        <f aca="false">IF(COUNTIF(Final_CB_R8_V5!$B$8:$B$20345,A649)&gt;=1,"YES","NO")</f>
        <v>NO</v>
      </c>
      <c r="C649" s="3" t="s">
        <v>2387</v>
      </c>
      <c r="D649" s="3" t="str">
        <f aca="false">IF(COUNTIF(Final_CB_R8_V5!$C$8:$C$2345,C649)&gt;=1,"YES","NO")</f>
        <v>YES</v>
      </c>
    </row>
    <row r="650" customFormat="false" ht="15.75" hidden="false" customHeight="false" outlineLevel="0" collapsed="false">
      <c r="B650" s="3" t="str">
        <f aca="false">IF(COUNTIF(Final_CB_R8_V5!$B$8:$B$20345,A650)&gt;=1,"YES","NO")</f>
        <v>NO</v>
      </c>
      <c r="C650" s="3" t="s">
        <v>2389</v>
      </c>
      <c r="D650" s="3" t="str">
        <f aca="false">IF(COUNTIF(Final_CB_R8_V5!$C$8:$C$2345,C650)&gt;=1,"YES","NO")</f>
        <v>YES</v>
      </c>
    </row>
    <row r="651" customFormat="false" ht="15.75" hidden="false" customHeight="false" outlineLevel="0" collapsed="false">
      <c r="B651" s="3" t="str">
        <f aca="false">IF(COUNTIF(Final_CB_R8_V5!$B$8:$B$20345,A651)&gt;=1,"YES","NO")</f>
        <v>NO</v>
      </c>
      <c r="C651" s="3" t="s">
        <v>2395</v>
      </c>
      <c r="D651" s="3" t="str">
        <f aca="false">IF(COUNTIF(Final_CB_R8_V5!$C$8:$C$2345,C651)&gt;=1,"YES","NO")</f>
        <v>YES</v>
      </c>
    </row>
    <row r="652" customFormat="false" ht="15.75" hidden="false" customHeight="false" outlineLevel="0" collapsed="false">
      <c r="B652" s="3" t="str">
        <f aca="false">IF(COUNTIF(Final_CB_R8_V5!$B$8:$B$20345,A652)&gt;=1,"YES","NO")</f>
        <v>NO</v>
      </c>
      <c r="C652" s="3" t="s">
        <v>2545</v>
      </c>
      <c r="D652" s="3" t="str">
        <f aca="false">IF(COUNTIF(Final_CB_R8_V5!$C$8:$C$2345,C652)&gt;=1,"YES","NO")</f>
        <v>YES</v>
      </c>
    </row>
    <row r="653" customFormat="false" ht="15.75" hidden="false" customHeight="false" outlineLevel="0" collapsed="false">
      <c r="B653" s="3" t="str">
        <f aca="false">IF(COUNTIF(Final_CB_R8_V5!$B$8:$B$20345,A653)&gt;=1,"YES","NO")</f>
        <v>NO</v>
      </c>
      <c r="C653" s="3" t="s">
        <v>2546</v>
      </c>
      <c r="D653" s="3" t="str">
        <f aca="false">IF(COUNTIF(Final_CB_R8_V5!$C$8:$C$2345,C653)&gt;=1,"YES","NO")</f>
        <v>YES</v>
      </c>
    </row>
    <row r="654" customFormat="false" ht="15.75" hidden="false" customHeight="false" outlineLevel="0" collapsed="false">
      <c r="B654" s="3" t="str">
        <f aca="false">IF(COUNTIF(Final_CB_R8_V5!$B$8:$B$20345,A654)&gt;=1,"YES","NO")</f>
        <v>NO</v>
      </c>
      <c r="C654" s="3" t="s">
        <v>2547</v>
      </c>
      <c r="D654" s="3" t="str">
        <f aca="false">IF(COUNTIF(Final_CB_R8_V5!$C$8:$C$2345,C654)&gt;=1,"YES","NO")</f>
        <v>YES</v>
      </c>
    </row>
    <row r="655" customFormat="false" ht="15.75" hidden="false" customHeight="false" outlineLevel="0" collapsed="false">
      <c r="B655" s="3" t="str">
        <f aca="false">IF(COUNTIF(Final_CB_R8_V5!$B$8:$B$20345,A655)&gt;=1,"YES","NO")</f>
        <v>NO</v>
      </c>
      <c r="C655" s="3" t="s">
        <v>2548</v>
      </c>
      <c r="D655" s="3" t="str">
        <f aca="false">IF(COUNTIF(Final_CB_R8_V5!$C$8:$C$2345,C655)&gt;=1,"YES","NO")</f>
        <v>YES</v>
      </c>
    </row>
    <row r="656" customFormat="false" ht="15.75" hidden="false" customHeight="false" outlineLevel="0" collapsed="false">
      <c r="B656" s="3" t="str">
        <f aca="false">IF(COUNTIF(Final_CB_R8_V5!$B$8:$B$20345,A656)&gt;=1,"YES","NO")</f>
        <v>NO</v>
      </c>
      <c r="C656" s="3" t="s">
        <v>2549</v>
      </c>
      <c r="D656" s="3" t="str">
        <f aca="false">IF(COUNTIF(Final_CB_R8_V5!$C$8:$C$2345,C656)&gt;=1,"YES","NO")</f>
        <v>YES</v>
      </c>
    </row>
    <row r="657" customFormat="false" ht="15.75" hidden="false" customHeight="false" outlineLevel="0" collapsed="false">
      <c r="B657" s="3" t="str">
        <f aca="false">IF(COUNTIF(Final_CB_R8_V5!$B$8:$B$20345,A657)&gt;=1,"YES","NO")</f>
        <v>NO</v>
      </c>
      <c r="C657" s="3" t="s">
        <v>2399</v>
      </c>
      <c r="D657" s="3" t="str">
        <f aca="false">IF(COUNTIF(Final_CB_R8_V5!$C$8:$C$2345,C657)&gt;=1,"YES","NO")</f>
        <v>YES</v>
      </c>
    </row>
    <row r="658" customFormat="false" ht="15.75" hidden="false" customHeight="false" outlineLevel="0" collapsed="false">
      <c r="B658" s="3" t="str">
        <f aca="false">IF(COUNTIF(Final_CB_R8_V5!$B$8:$B$20345,A658)&gt;=1,"YES","NO")</f>
        <v>NO</v>
      </c>
      <c r="C658" s="3" t="s">
        <v>2550</v>
      </c>
      <c r="D658" s="3" t="str">
        <f aca="false">IF(COUNTIF(Final_CB_R8_V5!$C$8:$C$2345,C658)&gt;=1,"YES","NO")</f>
        <v>YES</v>
      </c>
    </row>
    <row r="659" customFormat="false" ht="15.75" hidden="false" customHeight="false" outlineLevel="0" collapsed="false">
      <c r="B659" s="3" t="str">
        <f aca="false">IF(COUNTIF(Final_CB_R8_V5!$B$8:$B$20345,A659)&gt;=1,"YES","NO")</f>
        <v>NO</v>
      </c>
      <c r="C659" s="3" t="s">
        <v>2551</v>
      </c>
      <c r="D659" s="3" t="str">
        <f aca="false">IF(COUNTIF(Final_CB_R8_V5!$C$8:$C$2345,C659)&gt;=1,"YES","NO")</f>
        <v>YES</v>
      </c>
    </row>
    <row r="660" customFormat="false" ht="15.75" hidden="false" customHeight="false" outlineLevel="0" collapsed="false">
      <c r="B660" s="3" t="str">
        <f aca="false">IF(COUNTIF(Final_CB_R8_V5!$B$8:$B$20345,A660)&gt;=1,"YES","NO")</f>
        <v>NO</v>
      </c>
      <c r="C660" s="3" t="s">
        <v>2401</v>
      </c>
      <c r="D660" s="3" t="str">
        <f aca="false">IF(COUNTIF(Final_CB_R8_V5!$C$8:$C$2345,C660)&gt;=1,"YES","NO")</f>
        <v>YES</v>
      </c>
    </row>
    <row r="661" customFormat="false" ht="15.75" hidden="false" customHeight="false" outlineLevel="0" collapsed="false">
      <c r="B661" s="3" t="str">
        <f aca="false">IF(COUNTIF(Final_CB_R8_V5!$B$8:$B$20345,A661)&gt;=1,"YES","NO")</f>
        <v>NO</v>
      </c>
      <c r="C661" s="3" t="s">
        <v>2405</v>
      </c>
      <c r="D661" s="3" t="str">
        <f aca="false">IF(COUNTIF(Final_CB_R8_V5!$C$8:$C$2345,C661)&gt;=1,"YES","NO")</f>
        <v>YES</v>
      </c>
    </row>
    <row r="662" customFormat="false" ht="15.75" hidden="false" customHeight="false" outlineLevel="0" collapsed="false">
      <c r="B662" s="3" t="str">
        <f aca="false">IF(COUNTIF(Final_CB_R8_V5!$B$8:$B$20345,A662)&gt;=1,"YES","NO")</f>
        <v>NO</v>
      </c>
      <c r="C662" s="3" t="s">
        <v>2407</v>
      </c>
      <c r="D662" s="3" t="str">
        <f aca="false">IF(COUNTIF(Final_CB_R8_V5!$C$8:$C$2345,C662)&gt;=1,"YES","NO")</f>
        <v>YES</v>
      </c>
    </row>
    <row r="663" customFormat="false" ht="15.75" hidden="false" customHeight="false" outlineLevel="0" collapsed="false">
      <c r="B663" s="3" t="str">
        <f aca="false">IF(COUNTIF(Final_CB_R8_V5!$B$8:$B$20345,A663)&gt;=1,"YES","NO")</f>
        <v>NO</v>
      </c>
      <c r="C663" s="3" t="s">
        <v>2409</v>
      </c>
      <c r="D663" s="3" t="str">
        <f aca="false">IF(COUNTIF(Final_CB_R8_V5!$C$8:$C$2345,C663)&gt;=1,"YES","NO")</f>
        <v>YES</v>
      </c>
    </row>
    <row r="664" customFormat="false" ht="15.75" hidden="false" customHeight="false" outlineLevel="0" collapsed="false">
      <c r="B664" s="3" t="str">
        <f aca="false">IF(COUNTIF(Final_CB_R8_V5!$B$8:$B$20345,A664)&gt;=1,"YES","NO")</f>
        <v>NO</v>
      </c>
      <c r="C664" s="3" t="s">
        <v>2411</v>
      </c>
      <c r="D664" s="3" t="str">
        <f aca="false">IF(COUNTIF(Final_CB_R8_V5!$C$8:$C$2345,C664)&gt;=1,"YES","NO")</f>
        <v>YES</v>
      </c>
    </row>
    <row r="665" customFormat="false" ht="15.75" hidden="false" customHeight="false" outlineLevel="0" collapsed="false">
      <c r="B665" s="3" t="str">
        <f aca="false">IF(COUNTIF(Final_CB_R8_V5!$B$8:$B$20345,A665)&gt;=1,"YES","NO")</f>
        <v>NO</v>
      </c>
      <c r="C665" s="3" t="s">
        <v>2413</v>
      </c>
      <c r="D665" s="3" t="str">
        <f aca="false">IF(COUNTIF(Final_CB_R8_V5!$C$8:$C$2345,C665)&gt;=1,"YES","NO")</f>
        <v>YES</v>
      </c>
    </row>
    <row r="666" customFormat="false" ht="15.75" hidden="false" customHeight="false" outlineLevel="0" collapsed="false">
      <c r="B666" s="3" t="str">
        <f aca="false">IF(COUNTIF(Final_CB_R8_V5!$B$8:$B$20345,A666)&gt;=1,"YES","NO")</f>
        <v>NO</v>
      </c>
      <c r="C666" s="3" t="s">
        <v>2415</v>
      </c>
      <c r="D666" s="3" t="str">
        <f aca="false">IF(COUNTIF(Final_CB_R8_V5!$C$8:$C$2345,C666)&gt;=1,"YES","NO")</f>
        <v>YES</v>
      </c>
    </row>
    <row r="667" customFormat="false" ht="15.75" hidden="false" customHeight="false" outlineLevel="0" collapsed="false">
      <c r="B667" s="3" t="str">
        <f aca="false">IF(COUNTIF(Final_CB_R8_V5!$B$8:$B$20345,A667)&gt;=1,"YES","NO")</f>
        <v>NO</v>
      </c>
      <c r="C667" s="3" t="s">
        <v>2417</v>
      </c>
      <c r="D667" s="3" t="str">
        <f aca="false">IF(COUNTIF(Final_CB_R8_V5!$C$8:$C$2345,C667)&gt;=1,"YES","NO")</f>
        <v>YES</v>
      </c>
    </row>
    <row r="668" customFormat="false" ht="15.75" hidden="false" customHeight="false" outlineLevel="0" collapsed="false">
      <c r="B668" s="3" t="str">
        <f aca="false">IF(COUNTIF(Final_CB_R8_V5!$B$8:$B$20345,A668)&gt;=1,"YES","NO")</f>
        <v>NO</v>
      </c>
      <c r="C668" s="3" t="s">
        <v>2552</v>
      </c>
      <c r="D668" s="3" t="str">
        <f aca="false">IF(COUNTIF(Final_CB_R8_V5!$C$8:$C$2345,C668)&gt;=1,"YES","NO")</f>
        <v>YES</v>
      </c>
    </row>
    <row r="669" customFormat="false" ht="15.75" hidden="false" customHeight="false" outlineLevel="0" collapsed="false">
      <c r="B669" s="3" t="str">
        <f aca="false">IF(COUNTIF(Final_CB_R8_V5!$B$8:$B$20345,A669)&gt;=1,"YES","NO")</f>
        <v>NO</v>
      </c>
      <c r="C669" s="3" t="s">
        <v>2553</v>
      </c>
      <c r="D669" s="3" t="str">
        <f aca="false">IF(COUNTIF(Final_CB_R8_V5!$C$8:$C$2345,C669)&gt;=1,"YES","NO")</f>
        <v>YES</v>
      </c>
    </row>
    <row r="670" customFormat="false" ht="15.75" hidden="false" customHeight="false" outlineLevel="0" collapsed="false">
      <c r="B670" s="3" t="str">
        <f aca="false">IF(COUNTIF(Final_CB_R8_V5!$B$8:$B$20345,A670)&gt;=1,"YES","NO")</f>
        <v>NO</v>
      </c>
      <c r="C670" s="3" t="s">
        <v>2554</v>
      </c>
      <c r="D670" s="3" t="str">
        <f aca="false">IF(COUNTIF(Final_CB_R8_V5!$C$8:$C$2345,C670)&gt;=1,"YES","NO")</f>
        <v>YES</v>
      </c>
    </row>
    <row r="671" customFormat="false" ht="15.75" hidden="false" customHeight="false" outlineLevel="0" collapsed="false">
      <c r="B671" s="3" t="str">
        <f aca="false">IF(COUNTIF(Final_CB_R8_V5!$B$8:$B$20345,A671)&gt;=1,"YES","NO")</f>
        <v>NO</v>
      </c>
      <c r="C671" s="3" t="s">
        <v>2419</v>
      </c>
      <c r="D671" s="3" t="str">
        <f aca="false">IF(COUNTIF(Final_CB_R8_V5!$C$8:$C$2345,C671)&gt;=1,"YES","NO")</f>
        <v>YES</v>
      </c>
    </row>
    <row r="672" customFormat="false" ht="15.75" hidden="false" customHeight="false" outlineLevel="0" collapsed="false">
      <c r="B672" s="3" t="str">
        <f aca="false">IF(COUNTIF(Final_CB_R8_V5!$B$8:$B$20345,A672)&gt;=1,"YES","NO")</f>
        <v>NO</v>
      </c>
      <c r="C672" s="3" t="s">
        <v>2555</v>
      </c>
      <c r="D672" s="3" t="str">
        <f aca="false">IF(COUNTIF(Final_CB_R8_V5!$C$8:$C$2345,C672)&gt;=1,"YES","NO")</f>
        <v>YES</v>
      </c>
    </row>
    <row r="673" customFormat="false" ht="15.75" hidden="false" customHeight="false" outlineLevel="0" collapsed="false">
      <c r="B673" s="3" t="str">
        <f aca="false">IF(COUNTIF(Final_CB_R8_V5!$B$8:$B$20345,A673)&gt;=1,"YES","NO")</f>
        <v>NO</v>
      </c>
      <c r="C673" s="3" t="s">
        <v>2556</v>
      </c>
      <c r="D673" s="3" t="str">
        <f aca="false">IF(COUNTIF(Final_CB_R8_V5!$C$8:$C$2345,C673)&gt;=1,"YES","NO")</f>
        <v>YES</v>
      </c>
    </row>
    <row r="674" customFormat="false" ht="15.75" hidden="false" customHeight="false" outlineLevel="0" collapsed="false">
      <c r="B674" s="3" t="str">
        <f aca="false">IF(COUNTIF(Final_CB_R8_V5!$B$8:$B$20345,A674)&gt;=1,"YES","NO")</f>
        <v>NO</v>
      </c>
      <c r="C674" s="3" t="s">
        <v>2557</v>
      </c>
      <c r="D674" s="3" t="str">
        <f aca="false">IF(COUNTIF(Final_CB_R8_V5!$C$8:$C$2345,C674)&gt;=1,"YES","NO")</f>
        <v>YES</v>
      </c>
    </row>
    <row r="675" customFormat="false" ht="15.75" hidden="false" customHeight="false" outlineLevel="0" collapsed="false">
      <c r="B675" s="3" t="str">
        <f aca="false">IF(COUNTIF(Final_CB_R8_V5!$B$8:$B$20345,A675)&gt;=1,"YES","NO")</f>
        <v>NO</v>
      </c>
      <c r="C675" s="3" t="s">
        <v>2558</v>
      </c>
      <c r="D675" s="3" t="str">
        <f aca="false">IF(COUNTIF(Final_CB_R8_V5!$C$8:$C$2345,C675)&gt;=1,"YES","NO")</f>
        <v>YES</v>
      </c>
    </row>
    <row r="676" customFormat="false" ht="15.75" hidden="false" customHeight="false" outlineLevel="0" collapsed="false">
      <c r="B676" s="3" t="str">
        <f aca="false">IF(COUNTIF(Final_CB_R8_V5!$B$8:$B$20345,A676)&gt;=1,"YES","NO")</f>
        <v>NO</v>
      </c>
      <c r="C676" s="3" t="s">
        <v>2559</v>
      </c>
      <c r="D676" s="3" t="str">
        <f aca="false">IF(COUNTIF(Final_CB_R8_V5!$C$8:$C$2345,C676)&gt;=1,"YES","NO")</f>
        <v>YES</v>
      </c>
    </row>
    <row r="677" customFormat="false" ht="15.75" hidden="false" customHeight="false" outlineLevel="0" collapsed="false">
      <c r="B677" s="3" t="str">
        <f aca="false">IF(COUNTIF(Final_CB_R8_V5!$B$8:$B$20345,A677)&gt;=1,"YES","NO")</f>
        <v>NO</v>
      </c>
      <c r="C677" s="3" t="s">
        <v>2560</v>
      </c>
      <c r="D677" s="3" t="str">
        <f aca="false">IF(COUNTIF(Final_CB_R8_V5!$C$8:$C$2345,C677)&gt;=1,"YES","NO")</f>
        <v>YES</v>
      </c>
    </row>
    <row r="678" customFormat="false" ht="15.75" hidden="false" customHeight="false" outlineLevel="0" collapsed="false">
      <c r="B678" s="3" t="str">
        <f aca="false">IF(COUNTIF(Final_CB_R8_V5!$B$8:$B$20345,A678)&gt;=1,"YES","NO")</f>
        <v>NO</v>
      </c>
      <c r="C678" s="3" t="s">
        <v>2561</v>
      </c>
      <c r="D678" s="3" t="str">
        <f aca="false">IF(COUNTIF(Final_CB_R8_V5!$C$8:$C$2345,C678)&gt;=1,"YES","NO")</f>
        <v>YES</v>
      </c>
    </row>
    <row r="679" customFormat="false" ht="15.75" hidden="false" customHeight="false" outlineLevel="0" collapsed="false">
      <c r="B679" s="3" t="str">
        <f aca="false">IF(COUNTIF(Final_CB_R8_V5!$B$8:$B$20345,A679)&gt;=1,"YES","NO")</f>
        <v>NO</v>
      </c>
      <c r="C679" s="3" t="s">
        <v>2427</v>
      </c>
      <c r="D679" s="3" t="str">
        <f aca="false">IF(COUNTIF(Final_CB_R8_V5!$C$8:$C$2345,C679)&gt;=1,"YES","NO")</f>
        <v>YES</v>
      </c>
    </row>
    <row r="680" customFormat="false" ht="15.75" hidden="false" customHeight="false" outlineLevel="0" collapsed="false">
      <c r="B680" s="3" t="str">
        <f aca="false">IF(COUNTIF(Final_CB_R8_V5!$B$8:$B$20345,A680)&gt;=1,"YES","NO")</f>
        <v>NO</v>
      </c>
      <c r="C680" s="3" t="s">
        <v>2562</v>
      </c>
      <c r="D680" s="3" t="str">
        <f aca="false">IF(COUNTIF(Final_CB_R8_V5!$C$8:$C$2345,C680)&gt;=1,"YES","NO")</f>
        <v>YES</v>
      </c>
    </row>
    <row r="681" customFormat="false" ht="15.75" hidden="false" customHeight="false" outlineLevel="0" collapsed="false">
      <c r="B681" s="3" t="str">
        <f aca="false">IF(COUNTIF(Final_CB_R8_V5!$B$8:$B$20345,A681)&gt;=1,"YES","NO")</f>
        <v>NO</v>
      </c>
      <c r="C681" s="3" t="s">
        <v>2563</v>
      </c>
      <c r="D681" s="3" t="str">
        <f aca="false">IF(COUNTIF(Final_CB_R8_V5!$C$8:$C$2345,C681)&gt;=1,"YES","NO")</f>
        <v>YES</v>
      </c>
    </row>
    <row r="682" customFormat="false" ht="15.75" hidden="false" customHeight="false" outlineLevel="0" collapsed="false">
      <c r="B682" s="3" t="str">
        <f aca="false">IF(COUNTIF(Final_CB_R8_V5!$B$8:$B$20345,A682)&gt;=1,"YES","NO")</f>
        <v>NO</v>
      </c>
      <c r="C682" s="3" t="s">
        <v>2435</v>
      </c>
      <c r="D682" s="3" t="str">
        <f aca="false">IF(COUNTIF(Final_CB_R8_V5!$C$8:$C$2345,C682)&gt;=1,"YES","NO")</f>
        <v>YES</v>
      </c>
    </row>
    <row r="683" customFormat="false" ht="15.75" hidden="false" customHeight="false" outlineLevel="0" collapsed="false">
      <c r="B683" s="3" t="str">
        <f aca="false">IF(COUNTIF(Final_CB_R8_V5!$B$8:$B$20345,A683)&gt;=1,"YES","NO")</f>
        <v>NO</v>
      </c>
      <c r="C683" s="3" t="s">
        <v>2437</v>
      </c>
      <c r="D683" s="3" t="str">
        <f aca="false">IF(COUNTIF(Final_CB_R8_V5!$C$8:$C$2345,C683)&gt;=1,"YES","NO")</f>
        <v>YES</v>
      </c>
    </row>
    <row r="684" customFormat="false" ht="15.75" hidden="false" customHeight="false" outlineLevel="0" collapsed="false">
      <c r="B684" s="3" t="str">
        <f aca="false">IF(COUNTIF(Final_CB_R8_V5!$B$8:$B$20345,A684)&gt;=1,"YES","NO")</f>
        <v>NO</v>
      </c>
      <c r="C684" s="3" t="s">
        <v>2564</v>
      </c>
      <c r="D684" s="3" t="str">
        <f aca="false">IF(COUNTIF(Final_CB_R8_V5!$C$8:$C$2345,C684)&gt;=1,"YES","NO")</f>
        <v>YES</v>
      </c>
    </row>
    <row r="685" customFormat="false" ht="15.75" hidden="false" customHeight="false" outlineLevel="0" collapsed="false">
      <c r="B685" s="3" t="str">
        <f aca="false">IF(COUNTIF(Final_CB_R8_V5!$B$8:$B$20345,A685)&gt;=1,"YES","NO")</f>
        <v>NO</v>
      </c>
      <c r="C685" s="3" t="s">
        <v>2565</v>
      </c>
      <c r="D685" s="3" t="str">
        <f aca="false">IF(COUNTIF(Final_CB_R8_V5!$C$8:$C$2345,C685)&gt;=1,"YES","NO")</f>
        <v>YES</v>
      </c>
    </row>
    <row r="686" customFormat="false" ht="15.75" hidden="false" customHeight="false" outlineLevel="0" collapsed="false">
      <c r="B686" s="3" t="str">
        <f aca="false">IF(COUNTIF(Final_CB_R8_V5!$B$8:$B$20345,A686)&gt;=1,"YES","NO")</f>
        <v>NO</v>
      </c>
      <c r="C686" s="3" t="s">
        <v>2566</v>
      </c>
      <c r="D686" s="3" t="str">
        <f aca="false">IF(COUNTIF(Final_CB_R8_V5!$C$8:$C$2345,C686)&gt;=1,"YES","NO")</f>
        <v>YES</v>
      </c>
    </row>
    <row r="687" customFormat="false" ht="15.75" hidden="false" customHeight="false" outlineLevel="0" collapsed="false">
      <c r="B687" s="3" t="str">
        <f aca="false">IF(COUNTIF(Final_CB_R8_V5!$B$8:$B$20345,A687)&gt;=1,"YES","NO")</f>
        <v>NO</v>
      </c>
      <c r="C687" s="3" t="s">
        <v>2567</v>
      </c>
      <c r="D687" s="3" t="str">
        <f aca="false">IF(COUNTIF(Final_CB_R8_V5!$C$8:$C$2345,C687)&gt;=1,"YES","NO")</f>
        <v>YES</v>
      </c>
    </row>
    <row r="688" customFormat="false" ht="15.75" hidden="false" customHeight="false" outlineLevel="0" collapsed="false">
      <c r="B688" s="3" t="str">
        <f aca="false">IF(COUNTIF(Final_CB_R8_V5!$B$8:$B$20345,A688)&gt;=1,"YES","NO")</f>
        <v>NO</v>
      </c>
      <c r="C688" s="3" t="s">
        <v>2439</v>
      </c>
      <c r="D688" s="3" t="str">
        <f aca="false">IF(COUNTIF(Final_CB_R8_V5!$C$8:$C$2345,C688)&gt;=1,"YES","NO")</f>
        <v>YES</v>
      </c>
    </row>
    <row r="689" customFormat="false" ht="15.75" hidden="false" customHeight="false" outlineLevel="0" collapsed="false">
      <c r="B689" s="3" t="str">
        <f aca="false">IF(COUNTIF(Final_CB_R8_V5!$B$8:$B$20345,A689)&gt;=1,"YES","NO")</f>
        <v>NO</v>
      </c>
      <c r="C689" s="3" t="s">
        <v>2441</v>
      </c>
      <c r="D689" s="3" t="str">
        <f aca="false">IF(COUNTIF(Final_CB_R8_V5!$C$8:$C$2345,C689)&gt;=1,"YES","NO")</f>
        <v>YES</v>
      </c>
    </row>
    <row r="690" customFormat="false" ht="15.75" hidden="false" customHeight="false" outlineLevel="0" collapsed="false">
      <c r="B690" s="3" t="str">
        <f aca="false">IF(COUNTIF(Final_CB_R8_V5!$B$8:$B$20345,A690)&gt;=1,"YES","NO")</f>
        <v>NO</v>
      </c>
      <c r="C690" s="3" t="s">
        <v>2443</v>
      </c>
      <c r="D690" s="3" t="str">
        <f aca="false">IF(COUNTIF(Final_CB_R8_V5!$C$8:$C$2345,C690)&gt;=1,"YES","NO")</f>
        <v>YES</v>
      </c>
    </row>
    <row r="691" customFormat="false" ht="15.75" hidden="false" customHeight="false" outlineLevel="0" collapsed="false">
      <c r="B691" s="3" t="str">
        <f aca="false">IF(COUNTIF(Final_CB_R8_V5!$B$8:$B$20345,A691)&gt;=1,"YES","NO")</f>
        <v>NO</v>
      </c>
      <c r="C691" s="3" t="s">
        <v>2568</v>
      </c>
      <c r="D691" s="3" t="str">
        <f aca="false">IF(COUNTIF(Final_CB_R8_V5!$C$8:$C$2345,C691)&gt;=1,"YES","NO")</f>
        <v>YES</v>
      </c>
    </row>
    <row r="692" customFormat="false" ht="15.75" hidden="false" customHeight="false" outlineLevel="0" collapsed="false">
      <c r="B692" s="3" t="str">
        <f aca="false">IF(COUNTIF(Final_CB_R8_V5!$B$8:$B$20345,A692)&gt;=1,"YES","NO")</f>
        <v>NO</v>
      </c>
      <c r="C692" s="3" t="s">
        <v>2569</v>
      </c>
      <c r="D692" s="3" t="str">
        <f aca="false">IF(COUNTIF(Final_CB_R8_V5!$C$8:$C$2345,C692)&gt;=1,"YES","NO")</f>
        <v>YES</v>
      </c>
    </row>
    <row r="693" customFormat="false" ht="15.75" hidden="false" customHeight="false" outlineLevel="0" collapsed="false">
      <c r="B693" s="3" t="str">
        <f aca="false">IF(COUNTIF(Final_CB_R8_V5!$B$8:$B$20345,A693)&gt;=1,"YES","NO")</f>
        <v>NO</v>
      </c>
      <c r="C693" s="3" t="s">
        <v>2570</v>
      </c>
      <c r="D693" s="3" t="str">
        <f aca="false">IF(COUNTIF(Final_CB_R8_V5!$C$8:$C$2345,C693)&gt;=1,"YES","NO")</f>
        <v>YES</v>
      </c>
    </row>
    <row r="694" customFormat="false" ht="15.75" hidden="false" customHeight="false" outlineLevel="0" collapsed="false">
      <c r="B694" s="3" t="str">
        <f aca="false">IF(COUNTIF(Final_CB_R8_V5!$B$8:$B$20345,A694)&gt;=1,"YES","NO")</f>
        <v>NO</v>
      </c>
      <c r="C694" s="3" t="s">
        <v>2571</v>
      </c>
      <c r="D694" s="3" t="str">
        <f aca="false">IF(COUNTIF(Final_CB_R8_V5!$C$8:$C$2345,C694)&gt;=1,"YES","NO")</f>
        <v>YES</v>
      </c>
    </row>
    <row r="695" customFormat="false" ht="15.75" hidden="false" customHeight="false" outlineLevel="0" collapsed="false">
      <c r="B695" s="3" t="str">
        <f aca="false">IF(COUNTIF(Final_CB_R8_V5!$B$8:$B$20345,A695)&gt;=1,"YES","NO")</f>
        <v>NO</v>
      </c>
      <c r="C695" s="3" t="s">
        <v>2446</v>
      </c>
      <c r="D695" s="3" t="str">
        <f aca="false">IF(COUNTIF(Final_CB_R8_V5!$C$8:$C$2345,C695)&gt;=1,"YES","NO")</f>
        <v>YES</v>
      </c>
    </row>
    <row r="696" customFormat="false" ht="15.75" hidden="false" customHeight="false" outlineLevel="0" collapsed="false">
      <c r="B696" s="3" t="str">
        <f aca="false">IF(COUNTIF(Final_CB_R8_V5!$B$8:$B$20345,A696)&gt;=1,"YES","NO")</f>
        <v>NO</v>
      </c>
      <c r="C696" s="3" t="s">
        <v>2448</v>
      </c>
      <c r="D696" s="3" t="str">
        <f aca="false">IF(COUNTIF(Final_CB_R8_V5!$C$8:$C$2345,C696)&gt;=1,"YES","NO")</f>
        <v>YES</v>
      </c>
    </row>
    <row r="697" customFormat="false" ht="15.75" hidden="false" customHeight="false" outlineLevel="0" collapsed="false">
      <c r="B697" s="3" t="str">
        <f aca="false">IF(COUNTIF(Final_CB_R8_V5!$B$8:$B$20345,A697)&gt;=1,"YES","NO")</f>
        <v>NO</v>
      </c>
      <c r="C697" s="3" t="s">
        <v>2572</v>
      </c>
      <c r="D697" s="3" t="str">
        <f aca="false">IF(COUNTIF(Final_CB_R8_V5!$C$8:$C$2345,C697)&gt;=1,"YES","NO")</f>
        <v>YES</v>
      </c>
    </row>
    <row r="698" customFormat="false" ht="15.75" hidden="false" customHeight="false" outlineLevel="0" collapsed="false">
      <c r="B698" s="3" t="str">
        <f aca="false">IF(COUNTIF(Final_CB_R8_V5!$B$8:$B$20345,A698)&gt;=1,"YES","NO")</f>
        <v>NO</v>
      </c>
      <c r="C698" s="3" t="s">
        <v>2573</v>
      </c>
      <c r="D698" s="3" t="str">
        <f aca="false">IF(COUNTIF(Final_CB_R8_V5!$C$8:$C$2345,C698)&gt;=1,"YES","NO")</f>
        <v>YES</v>
      </c>
    </row>
    <row r="699" customFormat="false" ht="15.75" hidden="false" customHeight="false" outlineLevel="0" collapsed="false">
      <c r="B699" s="3" t="str">
        <f aca="false">IF(COUNTIF(Final_CB_R8_V5!$B$8:$B$20345,A699)&gt;=1,"YES","NO")</f>
        <v>NO</v>
      </c>
      <c r="C699" s="3" t="s">
        <v>2574</v>
      </c>
      <c r="D699" s="3" t="str">
        <f aca="false">IF(COUNTIF(Final_CB_R8_V5!$C$8:$C$2345,C699)&gt;=1,"YES","NO")</f>
        <v>YES</v>
      </c>
    </row>
    <row r="700" customFormat="false" ht="15.75" hidden="false" customHeight="false" outlineLevel="0" collapsed="false">
      <c r="B700" s="3" t="str">
        <f aca="false">IF(COUNTIF(Final_CB_R8_V5!$B$8:$B$20345,A700)&gt;=1,"YES","NO")</f>
        <v>NO</v>
      </c>
      <c r="C700" s="3" t="s">
        <v>2575</v>
      </c>
      <c r="D700" s="3" t="str">
        <f aca="false">IF(COUNTIF(Final_CB_R8_V5!$C$8:$C$2345,C700)&gt;=1,"YES","NO")</f>
        <v>YES</v>
      </c>
    </row>
    <row r="701" customFormat="false" ht="15.75" hidden="false" customHeight="false" outlineLevel="0" collapsed="false">
      <c r="B701" s="3" t="str">
        <f aca="false">IF(COUNTIF(Final_CB_R8_V5!$B$8:$B$20345,A701)&gt;=1,"YES","NO")</f>
        <v>NO</v>
      </c>
      <c r="C701" s="3" t="s">
        <v>2576</v>
      </c>
      <c r="D701" s="3" t="str">
        <f aca="false">IF(COUNTIF(Final_CB_R8_V5!$C$8:$C$2345,C701)&gt;=1,"YES","NO")</f>
        <v>YES</v>
      </c>
    </row>
    <row r="702" customFormat="false" ht="15.75" hidden="false" customHeight="false" outlineLevel="0" collapsed="false">
      <c r="B702" s="3" t="str">
        <f aca="false">IF(COUNTIF(Final_CB_R8_V5!$B$8:$B$20345,A702)&gt;=1,"YES","NO")</f>
        <v>NO</v>
      </c>
      <c r="C702" s="3" t="s">
        <v>2577</v>
      </c>
      <c r="D702" s="3" t="str">
        <f aca="false">IF(COUNTIF(Final_CB_R8_V5!$C$8:$C$2345,C702)&gt;=1,"YES","NO")</f>
        <v>YES</v>
      </c>
    </row>
    <row r="703" customFormat="false" ht="15.75" hidden="false" customHeight="false" outlineLevel="0" collapsed="false">
      <c r="B703" s="3" t="str">
        <f aca="false">IF(COUNTIF(Final_CB_R8_V5!$B$8:$B$20345,A703)&gt;=1,"YES","NO")</f>
        <v>NO</v>
      </c>
      <c r="C703" s="3" t="s">
        <v>2578</v>
      </c>
      <c r="D703" s="3" t="str">
        <f aca="false">IF(COUNTIF(Final_CB_R8_V5!$C$8:$C$2345,C703)&gt;=1,"YES","NO")</f>
        <v>YES</v>
      </c>
    </row>
    <row r="704" customFormat="false" ht="15.75" hidden="false" customHeight="false" outlineLevel="0" collapsed="false">
      <c r="B704" s="3" t="str">
        <f aca="false">IF(COUNTIF(Final_CB_R8_V5!$B$8:$B$20345,A704)&gt;=1,"YES","NO")</f>
        <v>NO</v>
      </c>
      <c r="C704" s="3" t="s">
        <v>2579</v>
      </c>
      <c r="D704" s="3" t="str">
        <f aca="false">IF(COUNTIF(Final_CB_R8_V5!$C$8:$C$2345,C704)&gt;=1,"YES","NO")</f>
        <v>YES</v>
      </c>
    </row>
    <row r="705" customFormat="false" ht="15.75" hidden="false" customHeight="false" outlineLevel="0" collapsed="false">
      <c r="B705" s="3" t="str">
        <f aca="false">IF(COUNTIF(Final_CB_R8_V5!$B$8:$B$20345,A705)&gt;=1,"YES","NO")</f>
        <v>NO</v>
      </c>
      <c r="C705" s="3" t="s">
        <v>2580</v>
      </c>
      <c r="D705" s="3" t="str">
        <f aca="false">IF(COUNTIF(Final_CB_R8_V5!$C$8:$C$2345,C705)&gt;=1,"YES","NO")</f>
        <v>YES</v>
      </c>
    </row>
    <row r="706" customFormat="false" ht="15.75" hidden="false" customHeight="false" outlineLevel="0" collapsed="false">
      <c r="B706" s="3" t="str">
        <f aca="false">IF(COUNTIF(Final_CB_R8_V5!$B$8:$B$20345,A706)&gt;=1,"YES","NO")</f>
        <v>NO</v>
      </c>
      <c r="C706" s="3" t="s">
        <v>2581</v>
      </c>
      <c r="D706" s="3" t="str">
        <f aca="false">IF(COUNTIF(Final_CB_R8_V5!$C$8:$C$2345,C706)&gt;=1,"YES","NO")</f>
        <v>YES</v>
      </c>
    </row>
    <row r="707" customFormat="false" ht="15.75" hidden="false" customHeight="false" outlineLevel="0" collapsed="false">
      <c r="B707" s="3" t="str">
        <f aca="false">IF(COUNTIF(Final_CB_R8_V5!$B$8:$B$20345,A707)&gt;=1,"YES","NO")</f>
        <v>NO</v>
      </c>
      <c r="C707" s="3" t="s">
        <v>2453</v>
      </c>
      <c r="D707" s="3" t="str">
        <f aca="false">IF(COUNTIF(Final_CB_R8_V5!$C$8:$C$2345,C707)&gt;=1,"YES","NO")</f>
        <v>YES</v>
      </c>
    </row>
    <row r="708" customFormat="false" ht="15.75" hidden="false" customHeight="false" outlineLevel="0" collapsed="false">
      <c r="B708" s="3" t="str">
        <f aca="false">IF(COUNTIF(Final_CB_R8_V5!$B$8:$B$20345,A708)&gt;=1,"YES","NO")</f>
        <v>NO</v>
      </c>
      <c r="C708" s="3" t="s">
        <v>2582</v>
      </c>
      <c r="D708" s="3" t="str">
        <f aca="false">IF(COUNTIF(Final_CB_R8_V5!$C$8:$C$2345,C708)&gt;=1,"YES","NO")</f>
        <v>YES</v>
      </c>
    </row>
    <row r="709" customFormat="false" ht="15.75" hidden="false" customHeight="false" outlineLevel="0" collapsed="false">
      <c r="B709" s="3" t="str">
        <f aca="false">IF(COUNTIF(Final_CB_R8_V5!$B$8:$B$20345,A709)&gt;=1,"YES","NO")</f>
        <v>NO</v>
      </c>
      <c r="C709" s="3" t="s">
        <v>2583</v>
      </c>
      <c r="D709" s="3" t="str">
        <f aca="false">IF(COUNTIF(Final_CB_R8_V5!$C$8:$C$2345,C709)&gt;=1,"YES","NO")</f>
        <v>YES</v>
      </c>
    </row>
    <row r="710" customFormat="false" ht="15.75" hidden="false" customHeight="false" outlineLevel="0" collapsed="false">
      <c r="B710" s="3" t="str">
        <f aca="false">IF(COUNTIF(Final_CB_R8_V5!$B$8:$B$20345,A710)&gt;=1,"YES","NO")</f>
        <v>NO</v>
      </c>
      <c r="C710" s="3" t="s">
        <v>2456</v>
      </c>
      <c r="D710" s="3" t="str">
        <f aca="false">IF(COUNTIF(Final_CB_R8_V5!$C$8:$C$2345,C710)&gt;=1,"YES","NO")</f>
        <v>YES</v>
      </c>
    </row>
    <row r="711" customFormat="false" ht="15.75" hidden="false" customHeight="false" outlineLevel="0" collapsed="false">
      <c r="B711" s="3" t="str">
        <f aca="false">IF(COUNTIF(Final_CB_R8_V5!$B$8:$B$20345,A711)&gt;=1,"YES","NO")</f>
        <v>NO</v>
      </c>
      <c r="C711" s="3" t="s">
        <v>2584</v>
      </c>
      <c r="D711" s="3" t="str">
        <f aca="false">IF(COUNTIF(Final_CB_R8_V5!$C$8:$C$2345,C711)&gt;=1,"YES","NO")</f>
        <v>YES</v>
      </c>
    </row>
    <row r="712" customFormat="false" ht="15.75" hidden="false" customHeight="false" outlineLevel="0" collapsed="false">
      <c r="B712" s="3" t="str">
        <f aca="false">IF(COUNTIF(Final_CB_R8_V5!$B$8:$B$20345,A712)&gt;=1,"YES","NO")</f>
        <v>NO</v>
      </c>
      <c r="C712" s="3" t="s">
        <v>2585</v>
      </c>
      <c r="D712" s="3" t="str">
        <f aca="false">IF(COUNTIF(Final_CB_R8_V5!$C$8:$C$2345,C712)&gt;=1,"YES","NO")</f>
        <v>YES</v>
      </c>
    </row>
    <row r="713" customFormat="false" ht="15.75" hidden="false" customHeight="false" outlineLevel="0" collapsed="false">
      <c r="B713" s="3" t="str">
        <f aca="false">IF(COUNTIF(Final_CB_R8_V5!$B$8:$B$20345,A713)&gt;=1,"YES","NO")</f>
        <v>NO</v>
      </c>
      <c r="C713" s="3" t="s">
        <v>2586</v>
      </c>
      <c r="D713" s="3" t="str">
        <f aca="false">IF(COUNTIF(Final_CB_R8_V5!$C$8:$C$2345,C713)&gt;=1,"YES","NO")</f>
        <v>YES</v>
      </c>
    </row>
    <row r="714" customFormat="false" ht="15.75" hidden="false" customHeight="false" outlineLevel="0" collapsed="false">
      <c r="B714" s="3" t="str">
        <f aca="false">IF(COUNTIF(Final_CB_R8_V5!$B$8:$B$20345,A714)&gt;=1,"YES","NO")</f>
        <v>NO</v>
      </c>
      <c r="C714" s="3" t="s">
        <v>2587</v>
      </c>
      <c r="D714" s="3" t="str">
        <f aca="false">IF(COUNTIF(Final_CB_R8_V5!$C$8:$C$2345,C714)&gt;=1,"YES","NO")</f>
        <v>YES</v>
      </c>
    </row>
    <row r="715" customFormat="false" ht="15.75" hidden="false" customHeight="false" outlineLevel="0" collapsed="false">
      <c r="B715" s="3" t="str">
        <f aca="false">IF(COUNTIF(Final_CB_R8_V5!$B$8:$B$20345,A715)&gt;=1,"YES","NO")</f>
        <v>NO</v>
      </c>
      <c r="C715" s="3" t="s">
        <v>2588</v>
      </c>
      <c r="D715" s="3" t="str">
        <f aca="false">IF(COUNTIF(Final_CB_R8_V5!$C$8:$C$2345,C715)&gt;=1,"YES","NO")</f>
        <v>YES</v>
      </c>
    </row>
    <row r="716" customFormat="false" ht="15.75" hidden="false" customHeight="false" outlineLevel="0" collapsed="false">
      <c r="B716" s="3" t="str">
        <f aca="false">IF(COUNTIF(Final_CB_R8_V5!$B$8:$B$20345,A716)&gt;=1,"YES","NO")</f>
        <v>NO</v>
      </c>
      <c r="C716" s="3" t="s">
        <v>2464</v>
      </c>
      <c r="D716" s="3" t="str">
        <f aca="false">IF(COUNTIF(Final_CB_R8_V5!$C$8:$C$2345,C716)&gt;=1,"YES","NO")</f>
        <v>YES</v>
      </c>
    </row>
    <row r="717" customFormat="false" ht="15.75" hidden="false" customHeight="false" outlineLevel="0" collapsed="false">
      <c r="B717" s="3" t="str">
        <f aca="false">IF(COUNTIF(Final_CB_R8_V5!$B$8:$B$20345,A717)&gt;=1,"YES","NO")</f>
        <v>NO</v>
      </c>
      <c r="C717" s="3" t="s">
        <v>2466</v>
      </c>
      <c r="D717" s="3" t="str">
        <f aca="false">IF(COUNTIF(Final_CB_R8_V5!$C$8:$C$2345,C717)&gt;=1,"YES","NO")</f>
        <v>YES</v>
      </c>
    </row>
    <row r="718" customFormat="false" ht="15.75" hidden="false" customHeight="false" outlineLevel="0" collapsed="false">
      <c r="B718" s="3" t="str">
        <f aca="false">IF(COUNTIF(Final_CB_R8_V5!$B$8:$B$20345,A718)&gt;=1,"YES","NO")</f>
        <v>NO</v>
      </c>
      <c r="C718" s="3" t="s">
        <v>2589</v>
      </c>
      <c r="D718" s="3" t="str">
        <f aca="false">IF(COUNTIF(Final_CB_R8_V5!$C$8:$C$2345,C718)&gt;=1,"YES","NO")</f>
        <v>YES</v>
      </c>
    </row>
    <row r="719" customFormat="false" ht="15.75" hidden="false" customHeight="false" outlineLevel="0" collapsed="false">
      <c r="B719" s="3" t="str">
        <f aca="false">IF(COUNTIF(Final_CB_R8_V5!$B$8:$B$20345,A719)&gt;=1,"YES","NO")</f>
        <v>NO</v>
      </c>
      <c r="C719" s="3" t="s">
        <v>2468</v>
      </c>
      <c r="D719" s="3" t="str">
        <f aca="false">IF(COUNTIF(Final_CB_R8_V5!$C$8:$C$2345,C719)&gt;=1,"YES","NO")</f>
        <v>YES</v>
      </c>
    </row>
    <row r="720" customFormat="false" ht="15.75" hidden="false" customHeight="false" outlineLevel="0" collapsed="false">
      <c r="B720" s="3" t="str">
        <f aca="false">IF(COUNTIF(Final_CB_R8_V5!$B$8:$B$20345,A720)&gt;=1,"YES","NO")</f>
        <v>NO</v>
      </c>
      <c r="C720" s="3" t="s">
        <v>2470</v>
      </c>
      <c r="D720" s="3" t="str">
        <f aca="false">IF(COUNTIF(Final_CB_R8_V5!$C$8:$C$2345,C720)&gt;=1,"YES","NO")</f>
        <v>YES</v>
      </c>
    </row>
    <row r="721" customFormat="false" ht="15.75" hidden="false" customHeight="false" outlineLevel="0" collapsed="false">
      <c r="B721" s="3" t="str">
        <f aca="false">IF(COUNTIF(Final_CB_R8_V5!$B$8:$B$20345,A721)&gt;=1,"YES","NO")</f>
        <v>NO</v>
      </c>
      <c r="C721" s="3" t="s">
        <v>2590</v>
      </c>
      <c r="D721" s="3" t="str">
        <f aca="false">IF(COUNTIF(Final_CB_R8_V5!$C$8:$C$2345,C721)&gt;=1,"YES","NO")</f>
        <v>YES</v>
      </c>
    </row>
    <row r="722" customFormat="false" ht="15.75" hidden="false" customHeight="false" outlineLevel="0" collapsed="false">
      <c r="B722" s="3" t="str">
        <f aca="false">IF(COUNTIF(Final_CB_R8_V5!$B$8:$B$20345,A722)&gt;=1,"YES","NO")</f>
        <v>NO</v>
      </c>
      <c r="C722" s="3" t="s">
        <v>2472</v>
      </c>
      <c r="D722" s="3" t="str">
        <f aca="false">IF(COUNTIF(Final_CB_R8_V5!$C$8:$C$2345,C722)&gt;=1,"YES","NO")</f>
        <v>YES</v>
      </c>
    </row>
    <row r="723" customFormat="false" ht="15.75" hidden="false" customHeight="false" outlineLevel="0" collapsed="false">
      <c r="B723" s="3" t="str">
        <f aca="false">IF(COUNTIF(Final_CB_R8_V5!$B$8:$B$20345,A723)&gt;=1,"YES","NO")</f>
        <v>NO</v>
      </c>
      <c r="C723" s="3" t="s">
        <v>2473</v>
      </c>
      <c r="D723" s="3" t="str">
        <f aca="false">IF(COUNTIF(Final_CB_R8_V5!$C$8:$C$2345,C723)&gt;=1,"YES","NO")</f>
        <v>YES</v>
      </c>
    </row>
    <row r="724" customFormat="false" ht="15.75" hidden="false" customHeight="false" outlineLevel="0" collapsed="false">
      <c r="B724" s="3" t="str">
        <f aca="false">IF(COUNTIF(Final_CB_R8_V5!$B$8:$B$20345,A724)&gt;=1,"YES","NO")</f>
        <v>NO</v>
      </c>
      <c r="C724" s="3" t="s">
        <v>2591</v>
      </c>
      <c r="D724" s="3" t="str">
        <f aca="false">IF(COUNTIF(Final_CB_R8_V5!$C$8:$C$2345,C724)&gt;=1,"YES","NO")</f>
        <v>YES</v>
      </c>
    </row>
    <row r="725" customFormat="false" ht="15.75" hidden="false" customHeight="false" outlineLevel="0" collapsed="false">
      <c r="B725" s="3" t="str">
        <f aca="false">IF(COUNTIF(Final_CB_R8_V5!$B$8:$B$20345,A725)&gt;=1,"YES","NO")</f>
        <v>NO</v>
      </c>
      <c r="C725" s="3" t="s">
        <v>2479</v>
      </c>
      <c r="D725" s="3" t="str">
        <f aca="false">IF(COUNTIF(Final_CB_R8_V5!$C$8:$C$2345,C725)&gt;=1,"YES","NO")</f>
        <v>YES</v>
      </c>
    </row>
    <row r="726" customFormat="false" ht="15.75" hidden="false" customHeight="false" outlineLevel="0" collapsed="false">
      <c r="B726" s="3" t="str">
        <f aca="false">IF(COUNTIF(Final_CB_R8_V5!$B$8:$B$20345,A726)&gt;=1,"YES","NO")</f>
        <v>NO</v>
      </c>
      <c r="C726" s="3" t="s">
        <v>2592</v>
      </c>
      <c r="D726" s="3" t="str">
        <f aca="false">IF(COUNTIF(Final_CB_R8_V5!$C$8:$C$2345,C726)&gt;=1,"YES","NO")</f>
        <v>YES</v>
      </c>
    </row>
    <row r="727" customFormat="false" ht="15.75" hidden="false" customHeight="false" outlineLevel="0" collapsed="false">
      <c r="B727" s="3" t="str">
        <f aca="false">IF(COUNTIF(Final_CB_R8_V5!$B$8:$B$20345,A727)&gt;=1,"YES","NO")</f>
        <v>NO</v>
      </c>
      <c r="C727" s="3" t="s">
        <v>2483</v>
      </c>
      <c r="D727" s="3" t="str">
        <f aca="false">IF(COUNTIF(Final_CB_R8_V5!$C$8:$C$2345,C727)&gt;=1,"YES","NO")</f>
        <v>YES</v>
      </c>
    </row>
    <row r="728" customFormat="false" ht="15.75" hidden="false" customHeight="false" outlineLevel="0" collapsed="false">
      <c r="B728" s="3" t="str">
        <f aca="false">IF(COUNTIF(Final_CB_R8_V5!$B$8:$B$20345,A728)&gt;=1,"YES","NO")</f>
        <v>NO</v>
      </c>
      <c r="C728" s="3" t="s">
        <v>2593</v>
      </c>
      <c r="D728" s="3" t="str">
        <f aca="false">IF(COUNTIF(Final_CB_R8_V5!$C$8:$C$2345,C728)&gt;=1,"YES","NO")</f>
        <v>YES</v>
      </c>
    </row>
    <row r="729" customFormat="false" ht="15.75" hidden="false" customHeight="false" outlineLevel="0" collapsed="false">
      <c r="B729" s="3" t="str">
        <f aca="false">IF(COUNTIF(Final_CB_R8_V5!$B$8:$B$20345,A729)&gt;=1,"YES","NO")</f>
        <v>NO</v>
      </c>
      <c r="C729" s="3" t="s">
        <v>2485</v>
      </c>
      <c r="D729" s="3" t="str">
        <f aca="false">IF(COUNTIF(Final_CB_R8_V5!$C$8:$C$2345,C729)&gt;=1,"YES","NO")</f>
        <v>YES</v>
      </c>
    </row>
    <row r="730" customFormat="false" ht="15.75" hidden="false" customHeight="false" outlineLevel="0" collapsed="false">
      <c r="B730" s="3" t="str">
        <f aca="false">IF(COUNTIF(Final_CB_R8_V5!$B$8:$B$20345,A730)&gt;=1,"YES","NO")</f>
        <v>NO</v>
      </c>
      <c r="C730" s="3" t="s">
        <v>2594</v>
      </c>
      <c r="D730" s="3" t="str">
        <f aca="false">IF(COUNTIF(Final_CB_R8_V5!$C$8:$C$2345,C730)&gt;=1,"YES","NO")</f>
        <v>YES</v>
      </c>
    </row>
    <row r="731" customFormat="false" ht="15.75" hidden="false" customHeight="false" outlineLevel="0" collapsed="false">
      <c r="B731" s="3" t="str">
        <f aca="false">IF(COUNTIF(Final_CB_R8_V5!$B$8:$B$20345,A731)&gt;=1,"YES","NO")</f>
        <v>NO</v>
      </c>
      <c r="C731" s="3" t="s">
        <v>2486</v>
      </c>
      <c r="D731" s="3" t="str">
        <f aca="false">IF(COUNTIF(Final_CB_R8_V5!$C$8:$C$2345,C731)&gt;=1,"YES","NO")</f>
        <v>YES</v>
      </c>
    </row>
    <row r="732" customFormat="false" ht="15.75" hidden="false" customHeight="false" outlineLevel="0" collapsed="false">
      <c r="B732" s="3" t="str">
        <f aca="false">IF(COUNTIF(Final_CB_R8_V5!$B$8:$B$20345,A732)&gt;=1,"YES","NO")</f>
        <v>NO</v>
      </c>
      <c r="C732" s="3" t="s">
        <v>2488</v>
      </c>
      <c r="D732" s="3" t="str">
        <f aca="false">IF(COUNTIF(Final_CB_R8_V5!$C$8:$C$2345,C732)&gt;=1,"YES","NO")</f>
        <v>YES</v>
      </c>
    </row>
    <row r="733" customFormat="false" ht="15.75" hidden="false" customHeight="false" outlineLevel="0" collapsed="false">
      <c r="B733" s="3" t="str">
        <f aca="false">IF(COUNTIF(Final_CB_R8_V5!$B$8:$B$20345,A733)&gt;=1,"YES","NO")</f>
        <v>NO</v>
      </c>
      <c r="C733" s="3" t="s">
        <v>2489</v>
      </c>
      <c r="D733" s="3" t="str">
        <f aca="false">IF(COUNTIF(Final_CB_R8_V5!$C$8:$C$2345,C733)&gt;=1,"YES","NO")</f>
        <v>YES</v>
      </c>
    </row>
    <row r="734" customFormat="false" ht="15.75" hidden="false" customHeight="false" outlineLevel="0" collapsed="false">
      <c r="B734" s="3" t="str">
        <f aca="false">IF(COUNTIF(Final_CB_R8_V5!$B$8:$B$20345,A734)&gt;=1,"YES","NO")</f>
        <v>NO</v>
      </c>
      <c r="C734" s="3" t="s">
        <v>2595</v>
      </c>
      <c r="D734" s="3" t="str">
        <f aca="false">IF(COUNTIF(Final_CB_R8_V5!$C$8:$C$2345,C734)&gt;=1,"YES","NO")</f>
        <v>YES</v>
      </c>
    </row>
    <row r="735" customFormat="false" ht="15.75" hidden="false" customHeight="false" outlineLevel="0" collapsed="false">
      <c r="B735" s="3" t="str">
        <f aca="false">IF(COUNTIF(Final_CB_R8_V5!$B$8:$B$20345,A735)&gt;=1,"YES","NO")</f>
        <v>NO</v>
      </c>
      <c r="C735" s="3" t="s">
        <v>2491</v>
      </c>
      <c r="D735" s="3" t="str">
        <f aca="false">IF(COUNTIF(Final_CB_R8_V5!$C$8:$C$2345,C735)&gt;=1,"YES","NO")</f>
        <v>YES</v>
      </c>
    </row>
    <row r="736" customFormat="false" ht="15.75" hidden="false" customHeight="false" outlineLevel="0" collapsed="false">
      <c r="B736" s="3" t="str">
        <f aca="false">IF(COUNTIF(Final_CB_R8_V5!$B$8:$B$20345,A736)&gt;=1,"YES","NO")</f>
        <v>NO</v>
      </c>
      <c r="C736" s="3" t="s">
        <v>2492</v>
      </c>
      <c r="D736" s="3" t="str">
        <f aca="false">IF(COUNTIF(Final_CB_R8_V5!$C$8:$C$2345,C736)&gt;=1,"YES","NO")</f>
        <v>YES</v>
      </c>
    </row>
    <row r="737" customFormat="false" ht="15.75" hidden="false" customHeight="false" outlineLevel="0" collapsed="false">
      <c r="B737" s="3" t="str">
        <f aca="false">IF(COUNTIF(Final_CB_R8_V5!$B$8:$B$20345,A737)&gt;=1,"YES","NO")</f>
        <v>NO</v>
      </c>
      <c r="C737" s="3" t="s">
        <v>2596</v>
      </c>
      <c r="D737" s="3" t="str">
        <f aca="false">IF(COUNTIF(Final_CB_R8_V5!$C$8:$C$2345,C737)&gt;=1,"YES","NO")</f>
        <v>YES</v>
      </c>
    </row>
    <row r="738" customFormat="false" ht="15.75" hidden="false" customHeight="false" outlineLevel="0" collapsed="false">
      <c r="B738" s="3" t="str">
        <f aca="false">IF(COUNTIF(Final_CB_R8_V5!$B$8:$B$20345,A738)&gt;=1,"YES","NO")</f>
        <v>NO</v>
      </c>
      <c r="C738" s="3" t="s">
        <v>2597</v>
      </c>
      <c r="D738" s="3" t="str">
        <f aca="false">IF(COUNTIF(Final_CB_R8_V5!$C$8:$C$2345,C738)&gt;=1,"YES","NO")</f>
        <v>YES</v>
      </c>
    </row>
    <row r="739" customFormat="false" ht="15.75" hidden="false" customHeight="false" outlineLevel="0" collapsed="false">
      <c r="B739" s="3" t="str">
        <f aca="false">IF(COUNTIF(Final_CB_R8_V5!$B$8:$B$20345,A739)&gt;=1,"YES","NO")</f>
        <v>NO</v>
      </c>
      <c r="C739" s="3" t="s">
        <v>2494</v>
      </c>
      <c r="D739" s="3" t="str">
        <f aca="false">IF(COUNTIF(Final_CB_R8_V5!$C$8:$C$2345,C739)&gt;=1,"YES","NO")</f>
        <v>YES</v>
      </c>
    </row>
    <row r="740" customFormat="false" ht="15.75" hidden="false" customHeight="false" outlineLevel="0" collapsed="false">
      <c r="B740" s="3" t="str">
        <f aca="false">IF(COUNTIF(Final_CB_R8_V5!$B$8:$B$20345,A740)&gt;=1,"YES","NO")</f>
        <v>NO</v>
      </c>
      <c r="C740" s="3" t="s">
        <v>2598</v>
      </c>
      <c r="D740" s="3" t="str">
        <f aca="false">IF(COUNTIF(Final_CB_R8_V5!$C$8:$C$2345,C740)&gt;=1,"YES","NO")</f>
        <v>YES</v>
      </c>
    </row>
    <row r="741" customFormat="false" ht="15.75" hidden="false" customHeight="false" outlineLevel="0" collapsed="false">
      <c r="B741" s="3" t="str">
        <f aca="false">IF(COUNTIF(Final_CB_R8_V5!$B$8:$B$20345,A741)&gt;=1,"YES","NO")</f>
        <v>NO</v>
      </c>
      <c r="C741" s="3" t="s">
        <v>2495</v>
      </c>
      <c r="D741" s="3" t="str">
        <f aca="false">IF(COUNTIF(Final_CB_R8_V5!$C$8:$C$2345,C741)&gt;=1,"YES","NO")</f>
        <v>YES</v>
      </c>
    </row>
    <row r="742" customFormat="false" ht="15.75" hidden="false" customHeight="false" outlineLevel="0" collapsed="false">
      <c r="B742" s="3" t="str">
        <f aca="false">IF(COUNTIF(Final_CB_R8_V5!$B$8:$B$20345,A742)&gt;=1,"YES","NO")</f>
        <v>NO</v>
      </c>
      <c r="C742" s="3" t="s">
        <v>2496</v>
      </c>
      <c r="D742" s="3" t="str">
        <f aca="false">IF(COUNTIF(Final_CB_R8_V5!$C$8:$C$2345,C742)&gt;=1,"YES","NO")</f>
        <v>YES</v>
      </c>
    </row>
    <row r="743" customFormat="false" ht="15.75" hidden="false" customHeight="false" outlineLevel="0" collapsed="false">
      <c r="B743" s="3" t="str">
        <f aca="false">IF(COUNTIF(Final_CB_R8_V5!$B$8:$B$20345,A743)&gt;=1,"YES","NO")</f>
        <v>NO</v>
      </c>
      <c r="C743" s="3" t="s">
        <v>2499</v>
      </c>
      <c r="D743" s="3" t="str">
        <f aca="false">IF(COUNTIF(Final_CB_R8_V5!$C$8:$C$2345,C743)&gt;=1,"YES","NO")</f>
        <v>YES</v>
      </c>
    </row>
    <row r="744" customFormat="false" ht="15.75" hidden="false" customHeight="false" outlineLevel="0" collapsed="false">
      <c r="B744" s="3" t="str">
        <f aca="false">IF(COUNTIF(Final_CB_R8_V5!$B$8:$B$20345,A744)&gt;=1,"YES","NO")</f>
        <v>NO</v>
      </c>
      <c r="C744" s="3" t="s">
        <v>2599</v>
      </c>
      <c r="D744" s="3" t="str">
        <f aca="false">IF(COUNTIF(Final_CB_R8_V5!$C$8:$C$2345,C744)&gt;=1,"YES","NO")</f>
        <v>YES</v>
      </c>
    </row>
    <row r="745" customFormat="false" ht="15.75" hidden="false" customHeight="false" outlineLevel="0" collapsed="false">
      <c r="B745" s="3" t="str">
        <f aca="false">IF(COUNTIF(Final_CB_R8_V5!$B$8:$B$20345,A745)&gt;=1,"YES","NO")</f>
        <v>NO</v>
      </c>
      <c r="C745" s="3" t="s">
        <v>2503</v>
      </c>
      <c r="D745" s="3" t="str">
        <f aca="false">IF(COUNTIF(Final_CB_R8_V5!$C$8:$C$2345,C745)&gt;=1,"YES","NO")</f>
        <v>YES</v>
      </c>
    </row>
    <row r="746" customFormat="false" ht="15.75" hidden="false" customHeight="false" outlineLevel="0" collapsed="false">
      <c r="B746" s="3" t="str">
        <f aca="false">IF(COUNTIF(Final_CB_R8_V5!$B$8:$B$20345,A746)&gt;=1,"YES","NO")</f>
        <v>NO</v>
      </c>
      <c r="C746" s="3" t="s">
        <v>2600</v>
      </c>
      <c r="D746" s="3" t="str">
        <f aca="false">IF(COUNTIF(Final_CB_R8_V5!$C$8:$C$2345,C746)&gt;=1,"YES","NO")</f>
        <v>YES</v>
      </c>
    </row>
    <row r="747" customFormat="false" ht="15.75" hidden="false" customHeight="false" outlineLevel="0" collapsed="false">
      <c r="B747" s="3" t="str">
        <f aca="false">IF(COUNTIF(Final_CB_R8_V5!$B$8:$B$20345,A747)&gt;=1,"YES","NO")</f>
        <v>NO</v>
      </c>
      <c r="C747" s="3" t="s">
        <v>2506</v>
      </c>
      <c r="D747" s="3" t="str">
        <f aca="false">IF(COUNTIF(Final_CB_R8_V5!$C$8:$C$2345,C747)&gt;=1,"YES","NO")</f>
        <v>YES</v>
      </c>
    </row>
    <row r="748" customFormat="false" ht="15.75" hidden="false" customHeight="false" outlineLevel="0" collapsed="false">
      <c r="B748" s="3" t="str">
        <f aca="false">IF(COUNTIF(Final_CB_R8_V5!$B$8:$B$20345,A748)&gt;=1,"YES","NO")</f>
        <v>NO</v>
      </c>
      <c r="C748" s="3" t="s">
        <v>2508</v>
      </c>
      <c r="D748" s="3" t="str">
        <f aca="false">IF(COUNTIF(Final_CB_R8_V5!$C$8:$C$2345,C748)&gt;=1,"YES","NO")</f>
        <v>YES</v>
      </c>
    </row>
    <row r="749" customFormat="false" ht="15.75" hidden="false" customHeight="false" outlineLevel="0" collapsed="false">
      <c r="B749" s="3" t="str">
        <f aca="false">IF(COUNTIF(Final_CB_R8_V5!$B$8:$B$20345,A749)&gt;=1,"YES","NO")</f>
        <v>NO</v>
      </c>
      <c r="C749" s="3" t="s">
        <v>2601</v>
      </c>
      <c r="D749" s="3" t="str">
        <f aca="false">IF(COUNTIF(Final_CB_R8_V5!$C$8:$C$2345,C749)&gt;=1,"YES","NO")</f>
        <v>YES</v>
      </c>
    </row>
    <row r="750" customFormat="false" ht="15.75" hidden="false" customHeight="false" outlineLevel="0" collapsed="false">
      <c r="B750" s="3" t="str">
        <f aca="false">IF(COUNTIF(Final_CB_R8_V5!$B$8:$B$20345,A750)&gt;=1,"YES","NO")</f>
        <v>NO</v>
      </c>
      <c r="C750" s="3" t="s">
        <v>2602</v>
      </c>
      <c r="D750" s="3" t="str">
        <f aca="false">IF(COUNTIF(Final_CB_R8_V5!$C$8:$C$2345,C750)&gt;=1,"YES","NO")</f>
        <v>YES</v>
      </c>
    </row>
    <row r="751" customFormat="false" ht="15.75" hidden="false" customHeight="false" outlineLevel="0" collapsed="false">
      <c r="B751" s="3" t="str">
        <f aca="false">IF(COUNTIF(Final_CB_R8_V5!$B$8:$B$20345,A751)&gt;=1,"YES","NO")</f>
        <v>NO</v>
      </c>
      <c r="C751" s="3" t="s">
        <v>2603</v>
      </c>
      <c r="D751" s="3" t="str">
        <f aca="false">IF(COUNTIF(Final_CB_R8_V5!$C$8:$C$2345,C751)&gt;=1,"YES","NO")</f>
        <v>YES</v>
      </c>
    </row>
    <row r="752" customFormat="false" ht="15.75" hidden="false" customHeight="false" outlineLevel="0" collapsed="false">
      <c r="B752" s="3" t="str">
        <f aca="false">IF(COUNTIF(Final_CB_R8_V5!$B$8:$B$20345,A752)&gt;=1,"YES","NO")</f>
        <v>NO</v>
      </c>
      <c r="C752" s="3" t="s">
        <v>2517</v>
      </c>
      <c r="D752" s="3" t="str">
        <f aca="false">IF(COUNTIF(Final_CB_R8_V5!$C$8:$C$2345,C752)&gt;=1,"YES","NO")</f>
        <v>YES</v>
      </c>
    </row>
    <row r="753" customFormat="false" ht="15.75" hidden="false" customHeight="false" outlineLevel="0" collapsed="false">
      <c r="B753" s="3" t="str">
        <f aca="false">IF(COUNTIF(Final_CB_R8_V5!$B$8:$B$20345,A753)&gt;=1,"YES","NO")</f>
        <v>NO</v>
      </c>
      <c r="C753" s="3" t="s">
        <v>2518</v>
      </c>
      <c r="D753" s="3" t="str">
        <f aca="false">IF(COUNTIF(Final_CB_R8_V5!$C$8:$C$2345,C753)&gt;=1,"YES","NO")</f>
        <v>YES</v>
      </c>
    </row>
    <row r="754" customFormat="false" ht="15.75" hidden="false" customHeight="false" outlineLevel="0" collapsed="false">
      <c r="B754" s="3" t="str">
        <f aca="false">IF(COUNTIF(Final_CB_R8_V5!$B$8:$B$20345,A754)&gt;=1,"YES","NO")</f>
        <v>NO</v>
      </c>
      <c r="C754" s="3" t="s">
        <v>2604</v>
      </c>
      <c r="D754" s="3" t="str">
        <f aca="false">IF(COUNTIF(Final_CB_R8_V5!$C$8:$C$2345,C754)&gt;=1,"YES","NO")</f>
        <v>YES</v>
      </c>
    </row>
    <row r="755" customFormat="false" ht="15.75" hidden="false" customHeight="false" outlineLevel="0" collapsed="false">
      <c r="B755" s="3" t="str">
        <f aca="false">IF(COUNTIF(Final_CB_R8_V5!$B$8:$B$20345,A755)&gt;=1,"YES","NO")</f>
        <v>NO</v>
      </c>
      <c r="C755" s="3" t="s">
        <v>2605</v>
      </c>
      <c r="D755" s="3" t="str">
        <f aca="false">IF(COUNTIF(Final_CB_R8_V5!$C$8:$C$2345,C755)&gt;=1,"YES","NO")</f>
        <v>YES</v>
      </c>
    </row>
    <row r="756" customFormat="false" ht="15.75" hidden="false" customHeight="false" outlineLevel="0" collapsed="false">
      <c r="B756" s="3" t="str">
        <f aca="false">IF(COUNTIF(Final_CB_R8_V5!$B$8:$B$20345,A756)&gt;=1,"YES","NO")</f>
        <v>NO</v>
      </c>
      <c r="C756" s="3" t="s">
        <v>2606</v>
      </c>
      <c r="D756" s="3" t="str">
        <f aca="false">IF(COUNTIF(Final_CB_R8_V5!$C$8:$C$2345,C756)&gt;=1,"YES","NO")</f>
        <v>YES</v>
      </c>
    </row>
    <row r="757" customFormat="false" ht="15.75" hidden="false" customHeight="false" outlineLevel="0" collapsed="false">
      <c r="B757" s="3" t="str">
        <f aca="false">IF(COUNTIF(Final_CB_R8_V5!$B$8:$B$20345,A757)&gt;=1,"YES","NO")</f>
        <v>NO</v>
      </c>
      <c r="C757" s="3" t="s">
        <v>2607</v>
      </c>
      <c r="D757" s="3" t="str">
        <f aca="false">IF(COUNTIF(Final_CB_R8_V5!$C$8:$C$2345,C757)&gt;=1,"YES","NO")</f>
        <v>YES</v>
      </c>
    </row>
    <row r="758" customFormat="false" ht="15.75" hidden="false" customHeight="false" outlineLevel="0" collapsed="false">
      <c r="B758" s="3" t="str">
        <f aca="false">IF(COUNTIF(Final_CB_R8_V5!$B$8:$B$20345,A758)&gt;=1,"YES","NO")</f>
        <v>NO</v>
      </c>
      <c r="C758" s="3" t="s">
        <v>2608</v>
      </c>
      <c r="D758" s="3" t="str">
        <f aca="false">IF(COUNTIF(Final_CB_R8_V5!$C$8:$C$2345,C758)&gt;=1,"YES","NO")</f>
        <v>YES</v>
      </c>
    </row>
    <row r="759" customFormat="false" ht="15.75" hidden="false" customHeight="false" outlineLevel="0" collapsed="false">
      <c r="B759" s="3" t="str">
        <f aca="false">IF(COUNTIF(Final_CB_R8_V5!$B$8:$B$20345,A759)&gt;=1,"YES","NO")</f>
        <v>NO</v>
      </c>
      <c r="C759" s="3" t="s">
        <v>2519</v>
      </c>
      <c r="D759" s="3" t="str">
        <f aca="false">IF(COUNTIF(Final_CB_R8_V5!$C$8:$C$2345,C759)&gt;=1,"YES","NO")</f>
        <v>YES</v>
      </c>
    </row>
    <row r="760" customFormat="false" ht="15.75" hidden="false" customHeight="false" outlineLevel="0" collapsed="false">
      <c r="B760" s="3" t="str">
        <f aca="false">IF(COUNTIF(Final_CB_R8_V5!$B$8:$B$20345,A760)&gt;=1,"YES","NO")</f>
        <v>NO</v>
      </c>
      <c r="C760" s="3" t="s">
        <v>2609</v>
      </c>
      <c r="D760" s="3" t="str">
        <f aca="false">IF(COUNTIF(Final_CB_R8_V5!$C$8:$C$2345,C760)&gt;=1,"YES","NO")</f>
        <v>YES</v>
      </c>
    </row>
    <row r="761" customFormat="false" ht="15.75" hidden="false" customHeight="false" outlineLevel="0" collapsed="false">
      <c r="B761" s="3" t="str">
        <f aca="false">IF(COUNTIF(Final_CB_R8_V5!$B$8:$B$20345,A761)&gt;=1,"YES","NO")</f>
        <v>NO</v>
      </c>
      <c r="C761" s="3" t="s">
        <v>2610</v>
      </c>
      <c r="D761" s="3" t="str">
        <f aca="false">IF(COUNTIF(Final_CB_R8_V5!$C$8:$C$2345,C761)&gt;=1,"YES","NO")</f>
        <v>YES</v>
      </c>
    </row>
    <row r="762" customFormat="false" ht="15.75" hidden="false" customHeight="false" outlineLevel="0" collapsed="false">
      <c r="B762" s="3" t="str">
        <f aca="false">IF(COUNTIF(Final_CB_R8_V5!$B$8:$B$20345,A762)&gt;=1,"YES","NO")</f>
        <v>NO</v>
      </c>
      <c r="C762" s="3" t="s">
        <v>2521</v>
      </c>
      <c r="D762" s="3" t="str">
        <f aca="false">IF(COUNTIF(Final_CB_R8_V5!$C$8:$C$2345,C762)&gt;=1,"YES","NO")</f>
        <v>YES</v>
      </c>
    </row>
    <row r="763" customFormat="false" ht="15.75" hidden="false" customHeight="false" outlineLevel="0" collapsed="false">
      <c r="B763" s="3" t="str">
        <f aca="false">IF(COUNTIF(Final_CB_R8_V5!$B$8:$B$20345,A763)&gt;=1,"YES","NO")</f>
        <v>NO</v>
      </c>
      <c r="C763" s="3" t="s">
        <v>2611</v>
      </c>
      <c r="D763" s="3" t="str">
        <f aca="false">IF(COUNTIF(Final_CB_R8_V5!$C$8:$C$2345,C763)&gt;=1,"YES","NO")</f>
        <v>YES</v>
      </c>
    </row>
    <row r="764" customFormat="false" ht="15.75" hidden="false" customHeight="false" outlineLevel="0" collapsed="false">
      <c r="B764" s="3" t="str">
        <f aca="false">IF(COUNTIF(Final_CB_R8_V5!$B$8:$B$20345,A764)&gt;=1,"YES","NO")</f>
        <v>NO</v>
      </c>
      <c r="C764" s="3" t="s">
        <v>2612</v>
      </c>
      <c r="D764" s="3" t="str">
        <f aca="false">IF(COUNTIF(Final_CB_R8_V5!$C$8:$C$2345,C764)&gt;=1,"YES","NO")</f>
        <v>YES</v>
      </c>
    </row>
    <row r="765" customFormat="false" ht="15.75" hidden="false" customHeight="false" outlineLevel="0" collapsed="false">
      <c r="B765" s="3" t="str">
        <f aca="false">IF(COUNTIF(Final_CB_R8_V5!$B$8:$B$20345,A765)&gt;=1,"YES","NO")</f>
        <v>NO</v>
      </c>
      <c r="C765" s="3" t="s">
        <v>2522</v>
      </c>
      <c r="D765" s="3" t="str">
        <f aca="false">IF(COUNTIF(Final_CB_R8_V5!$C$8:$C$2345,C765)&gt;=1,"YES","NO")</f>
        <v>YES</v>
      </c>
    </row>
    <row r="766" customFormat="false" ht="15.75" hidden="false" customHeight="false" outlineLevel="0" collapsed="false">
      <c r="B766" s="3" t="str">
        <f aca="false">IF(COUNTIF(Final_CB_R8_V5!$B$8:$B$20345,A766)&gt;=1,"YES","NO")</f>
        <v>NO</v>
      </c>
      <c r="C766" s="3" t="s">
        <v>2523</v>
      </c>
      <c r="D766" s="3" t="str">
        <f aca="false">IF(COUNTIF(Final_CB_R8_V5!$C$8:$C$2345,C766)&gt;=1,"YES","NO")</f>
        <v>YES</v>
      </c>
    </row>
    <row r="767" customFormat="false" ht="15.75" hidden="false" customHeight="false" outlineLevel="0" collapsed="false">
      <c r="B767" s="3" t="str">
        <f aca="false">IF(COUNTIF(Final_CB_R8_V5!$B$8:$B$20345,A767)&gt;=1,"YES","NO")</f>
        <v>NO</v>
      </c>
      <c r="C767" s="3" t="s">
        <v>2524</v>
      </c>
      <c r="D767" s="3" t="str">
        <f aca="false">IF(COUNTIF(Final_CB_R8_V5!$C$8:$C$2345,C767)&gt;=1,"YES","NO")</f>
        <v>YES</v>
      </c>
    </row>
    <row r="768" customFormat="false" ht="15.75" hidden="false" customHeight="false" outlineLevel="0" collapsed="false">
      <c r="B768" s="3" t="str">
        <f aca="false">IF(COUNTIF(Final_CB_R8_V5!$B$8:$B$20345,A768)&gt;=1,"YES","NO")</f>
        <v>NO</v>
      </c>
      <c r="C768" s="3" t="s">
        <v>2613</v>
      </c>
      <c r="D768" s="3" t="str">
        <f aca="false">IF(COUNTIF(Final_CB_R8_V5!$C$8:$C$2345,C768)&gt;=1,"YES","NO")</f>
        <v>YES</v>
      </c>
    </row>
    <row r="769" customFormat="false" ht="15.75" hidden="false" customHeight="false" outlineLevel="0" collapsed="false">
      <c r="B769" s="3" t="str">
        <f aca="false">IF(COUNTIF(Final_CB_R8_V5!$B$8:$B$20345,A769)&gt;=1,"YES","NO")</f>
        <v>NO</v>
      </c>
      <c r="C769" s="3" t="s">
        <v>2614</v>
      </c>
      <c r="D769" s="3" t="str">
        <f aca="false">IF(COUNTIF(Final_CB_R8_V5!$C$8:$C$2345,C769)&gt;=1,"YES","NO")</f>
        <v>YES</v>
      </c>
    </row>
    <row r="770" customFormat="false" ht="15.75" hidden="false" customHeight="false" outlineLevel="0" collapsed="false">
      <c r="B770" s="3" t="str">
        <f aca="false">IF(COUNTIF(Final_CB_R8_V5!$B$8:$B$20345,A770)&gt;=1,"YES","NO")</f>
        <v>NO</v>
      </c>
      <c r="C770" s="3" t="s">
        <v>2615</v>
      </c>
      <c r="D770" s="3" t="str">
        <f aca="false">IF(COUNTIF(Final_CB_R8_V5!$C$8:$C$2345,C770)&gt;=1,"YES","NO")</f>
        <v>YES</v>
      </c>
    </row>
    <row r="771" customFormat="false" ht="15.75" hidden="false" customHeight="false" outlineLevel="0" collapsed="false">
      <c r="B771" s="3" t="str">
        <f aca="false">IF(COUNTIF(Final_CB_R8_V5!$B$8:$B$20345,A771)&gt;=1,"YES","NO")</f>
        <v>NO</v>
      </c>
      <c r="C771" s="3" t="s">
        <v>2616</v>
      </c>
      <c r="D771" s="3" t="str">
        <f aca="false">IF(COUNTIF(Final_CB_R8_V5!$C$8:$C$2345,C771)&gt;=1,"YES","NO")</f>
        <v>YES</v>
      </c>
    </row>
    <row r="772" customFormat="false" ht="15.75" hidden="false" customHeight="false" outlineLevel="0" collapsed="false">
      <c r="B772" s="3" t="str">
        <f aca="false">IF(COUNTIF(Final_CB_R8_V5!$B$8:$B$20345,A772)&gt;=1,"YES","NO")</f>
        <v>NO</v>
      </c>
      <c r="C772" s="3" t="s">
        <v>2617</v>
      </c>
      <c r="D772" s="3" t="str">
        <f aca="false">IF(COUNTIF(Final_CB_R8_V5!$C$8:$C$2345,C772)&gt;=1,"YES","NO")</f>
        <v>YES</v>
      </c>
    </row>
    <row r="773" customFormat="false" ht="15.75" hidden="false" customHeight="false" outlineLevel="0" collapsed="false">
      <c r="B773" s="3" t="str">
        <f aca="false">IF(COUNTIF(Final_CB_R8_V5!$B$8:$B$20345,A773)&gt;=1,"YES","NO")</f>
        <v>NO</v>
      </c>
      <c r="C773" s="3" t="s">
        <v>2618</v>
      </c>
      <c r="D773" s="3" t="str">
        <f aca="false">IF(COUNTIF(Final_CB_R8_V5!$C$8:$C$2345,C773)&gt;=1,"YES","NO")</f>
        <v>YES</v>
      </c>
    </row>
    <row r="774" customFormat="false" ht="15.75" hidden="false" customHeight="false" outlineLevel="0" collapsed="false">
      <c r="B774" s="3" t="str">
        <f aca="false">IF(COUNTIF(Final_CB_R8_V5!$B$8:$B$20345,A774)&gt;=1,"YES","NO")</f>
        <v>NO</v>
      </c>
      <c r="C774" s="3" t="s">
        <v>2619</v>
      </c>
      <c r="D774" s="3" t="str">
        <f aca="false">IF(COUNTIF(Final_CB_R8_V5!$C$8:$C$2345,C774)&gt;=1,"YES","NO")</f>
        <v>YES</v>
      </c>
    </row>
    <row r="775" customFormat="false" ht="15.75" hidden="false" customHeight="false" outlineLevel="0" collapsed="false">
      <c r="B775" s="3" t="str">
        <f aca="false">IF(COUNTIF(Final_CB_R8_V5!$B$8:$B$20345,A775)&gt;=1,"YES","NO")</f>
        <v>NO</v>
      </c>
      <c r="C775" s="3" t="s">
        <v>2620</v>
      </c>
      <c r="D775" s="3" t="str">
        <f aca="false">IF(COUNTIF(Final_CB_R8_V5!$C$8:$C$2345,C775)&gt;=1,"YES","NO")</f>
        <v>YES</v>
      </c>
    </row>
    <row r="776" customFormat="false" ht="15.75" hidden="false" customHeight="false" outlineLevel="0" collapsed="false">
      <c r="B776" s="3" t="str">
        <f aca="false">IF(COUNTIF(Final_CB_R8_V5!$B$8:$B$20345,A776)&gt;=1,"YES","NO")</f>
        <v>NO</v>
      </c>
      <c r="C776" s="3" t="s">
        <v>2621</v>
      </c>
      <c r="D776" s="3" t="str">
        <f aca="false">IF(COUNTIF(Final_CB_R8_V5!$C$8:$C$2345,C776)&gt;=1,"YES","NO")</f>
        <v>YES</v>
      </c>
    </row>
    <row r="777" customFormat="false" ht="15.75" hidden="false" customHeight="false" outlineLevel="0" collapsed="false">
      <c r="B777" s="3" t="str">
        <f aca="false">IF(COUNTIF(Final_CB_R8_V5!$B$8:$B$20345,A777)&gt;=1,"YES","NO")</f>
        <v>NO</v>
      </c>
      <c r="C777" s="3" t="s">
        <v>2622</v>
      </c>
      <c r="D777" s="3" t="str">
        <f aca="false">IF(COUNTIF(Final_CB_R8_V5!$C$8:$C$2345,C777)&gt;=1,"YES","NO")</f>
        <v>YES</v>
      </c>
    </row>
    <row r="778" customFormat="false" ht="15.75" hidden="false" customHeight="false" outlineLevel="0" collapsed="false">
      <c r="B778" s="3" t="str">
        <f aca="false">IF(COUNTIF(Final_CB_R8_V5!$B$8:$B$20345,A778)&gt;=1,"YES","NO")</f>
        <v>NO</v>
      </c>
      <c r="C778" s="3" t="s">
        <v>2623</v>
      </c>
      <c r="D778" s="3" t="str">
        <f aca="false">IF(COUNTIF(Final_CB_R8_V5!$C$8:$C$2345,C778)&gt;=1,"YES","NO")</f>
        <v>YES</v>
      </c>
    </row>
    <row r="779" customFormat="false" ht="15.75" hidden="false" customHeight="false" outlineLevel="0" collapsed="false">
      <c r="B779" s="3" t="str">
        <f aca="false">IF(COUNTIF(Final_CB_R8_V5!$B$8:$B$20345,A779)&gt;=1,"YES","NO")</f>
        <v>NO</v>
      </c>
      <c r="C779" s="3" t="s">
        <v>2624</v>
      </c>
      <c r="D779" s="3" t="str">
        <f aca="false">IF(COUNTIF(Final_CB_R8_V5!$C$8:$C$2345,C779)&gt;=1,"YES","NO")</f>
        <v>YES</v>
      </c>
    </row>
    <row r="780" customFormat="false" ht="15.75" hidden="false" customHeight="false" outlineLevel="0" collapsed="false">
      <c r="B780" s="3" t="str">
        <f aca="false">IF(COUNTIF(Final_CB_R8_V5!$B$8:$B$20345,A780)&gt;=1,"YES","NO")</f>
        <v>NO</v>
      </c>
      <c r="C780" s="3" t="s">
        <v>2625</v>
      </c>
      <c r="D780" s="3" t="str">
        <f aca="false">IF(COUNTIF(Final_CB_R8_V5!$C$8:$C$2345,C780)&gt;=1,"YES","NO")</f>
        <v>YES</v>
      </c>
    </row>
    <row r="781" customFormat="false" ht="15.75" hidden="false" customHeight="false" outlineLevel="0" collapsed="false">
      <c r="B781" s="3" t="str">
        <f aca="false">IF(COUNTIF(Final_CB_R8_V5!$B$8:$B$20345,A781)&gt;=1,"YES","NO")</f>
        <v>NO</v>
      </c>
      <c r="C781" s="3" t="s">
        <v>2626</v>
      </c>
      <c r="D781" s="3" t="str">
        <f aca="false">IF(COUNTIF(Final_CB_R8_V5!$C$8:$C$2345,C781)&gt;=1,"YES","NO")</f>
        <v>YES</v>
      </c>
    </row>
    <row r="782" customFormat="false" ht="15.75" hidden="false" customHeight="false" outlineLevel="0" collapsed="false">
      <c r="B782" s="3" t="str">
        <f aca="false">IF(COUNTIF(Final_CB_R8_V5!$B$8:$B$20345,A782)&gt;=1,"YES","NO")</f>
        <v>NO</v>
      </c>
      <c r="C782" s="3" t="s">
        <v>2537</v>
      </c>
      <c r="D782" s="3" t="str">
        <f aca="false">IF(COUNTIF(Final_CB_R8_V5!$C$8:$C$2345,C782)&gt;=1,"YES","NO")</f>
        <v>YES</v>
      </c>
    </row>
    <row r="783" customFormat="false" ht="15.75" hidden="false" customHeight="false" outlineLevel="0" collapsed="false">
      <c r="B783" s="3" t="str">
        <f aca="false">IF(COUNTIF(Final_CB_R8_V5!$B$8:$B$20345,A783)&gt;=1,"YES","NO")</f>
        <v>NO</v>
      </c>
      <c r="C783" s="3" t="s">
        <v>2627</v>
      </c>
      <c r="D783" s="3" t="str">
        <f aca="false">IF(COUNTIF(Final_CB_R8_V5!$C$8:$C$2345,C783)&gt;=1,"YES","NO")</f>
        <v>YES</v>
      </c>
    </row>
    <row r="784" customFormat="false" ht="15.75" hidden="false" customHeight="false" outlineLevel="0" collapsed="false">
      <c r="B784" s="3" t="str">
        <f aca="false">IF(COUNTIF(Final_CB_R8_V5!$B$8:$B$20345,A784)&gt;=1,"YES","NO")</f>
        <v>NO</v>
      </c>
      <c r="C784" s="3" t="s">
        <v>2628</v>
      </c>
      <c r="D784" s="3" t="str">
        <f aca="false">IF(COUNTIF(Final_CB_R8_V5!$C$8:$C$2345,C784)&gt;=1,"YES","NO")</f>
        <v>YES</v>
      </c>
    </row>
    <row r="785" customFormat="false" ht="15.75" hidden="false" customHeight="false" outlineLevel="0" collapsed="false">
      <c r="B785" s="3" t="str">
        <f aca="false">IF(COUNTIF(Final_CB_R8_V5!$B$8:$B$20345,A785)&gt;=1,"YES","NO")</f>
        <v>NO</v>
      </c>
      <c r="C785" s="3" t="s">
        <v>2539</v>
      </c>
      <c r="D785" s="3" t="str">
        <f aca="false">IF(COUNTIF(Final_CB_R8_V5!$C$8:$C$2345,C785)&gt;=1,"YES","NO")</f>
        <v>YES</v>
      </c>
    </row>
    <row r="786" customFormat="false" ht="15.75" hidden="false" customHeight="false" outlineLevel="0" collapsed="false">
      <c r="B786" s="3" t="str">
        <f aca="false">IF(COUNTIF(Final_CB_R8_V5!$B$8:$B$20345,A786)&gt;=1,"YES","NO")</f>
        <v>NO</v>
      </c>
      <c r="C786" s="3" t="s">
        <v>2629</v>
      </c>
      <c r="D786" s="3" t="str">
        <f aca="false">IF(COUNTIF(Final_CB_R8_V5!$C$8:$C$2345,C786)&gt;=1,"YES","NO")</f>
        <v>YES</v>
      </c>
    </row>
  </sheetData>
  <conditionalFormatting sqref="A2:A1000 C2:C12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4.75"/>
    <col collapsed="false" customWidth="true" hidden="false" outlineLevel="0" max="3" min="2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4"/>
      <c r="B2" s="3"/>
      <c r="C2" s="3"/>
      <c r="D2" s="4" t="str">
        <f aca="false">IF(AND(EXACT(B2,C2),NOT(AND(ISBLANK(B2),ISBLANK(C2)))), "Common", "")</f>
        <v/>
      </c>
    </row>
    <row r="3" customFormat="false" ht="15.75" hidden="false" customHeight="false" outlineLevel="0" collapsed="false">
      <c r="A3" s="3" t="s">
        <v>279</v>
      </c>
      <c r="B3" s="3" t="s">
        <v>6</v>
      </c>
      <c r="C3" s="3" t="s">
        <v>6</v>
      </c>
      <c r="D3" s="4" t="str">
        <f aca="false">IF(AND(EXACT(B3,C3),NOT(AND(ISBLANK(B3),ISBLANK(C3)))), "Common", "")</f>
        <v>Common</v>
      </c>
    </row>
    <row r="4" customFormat="false" ht="15.75" hidden="false" customHeight="false" outlineLevel="0" collapsed="false">
      <c r="A4" s="3" t="s">
        <v>279</v>
      </c>
      <c r="B4" s="3" t="s">
        <v>14</v>
      </c>
      <c r="C4" s="3" t="s">
        <v>14</v>
      </c>
      <c r="D4" s="4" t="str">
        <f aca="false">IF(AND(EXACT(B4,C4),NOT(AND(ISBLANK(B4),ISBLANK(C4)))), "Common", "")</f>
        <v>Common</v>
      </c>
    </row>
    <row r="5" customFormat="false" ht="15.75" hidden="false" customHeight="false" outlineLevel="0" collapsed="false">
      <c r="A5" s="4"/>
      <c r="B5" s="3"/>
      <c r="C5" s="3"/>
      <c r="D5" s="4" t="str">
        <f aca="false">IF(AND(EXACT(B5,C5),NOT(AND(ISBLANK(B5),ISBLANK(C5)))), "Common", "")</f>
        <v/>
      </c>
    </row>
    <row r="6" customFormat="false" ht="15.75" hidden="false" customHeight="false" outlineLevel="0" collapsed="false">
      <c r="A6" s="3" t="s">
        <v>280</v>
      </c>
      <c r="B6" s="3" t="s">
        <v>209</v>
      </c>
      <c r="C6" s="3"/>
      <c r="D6" s="4" t="str">
        <f aca="false">IF(AND(EXACT(B6,C6),NOT(AND(ISBLANK(B6),ISBLANK(C6)))), "Common", "")</f>
        <v/>
      </c>
    </row>
    <row r="7" customFormat="false" ht="15.75" hidden="false" customHeight="false" outlineLevel="0" collapsed="false">
      <c r="A7" s="4"/>
      <c r="B7" s="3"/>
      <c r="C7" s="3"/>
      <c r="D7" s="4" t="str">
        <f aca="false">IF(AND(EXACT(B7,C7),NOT(AND(ISBLANK(B7),ISBLANK(C7)))), "Common", "")</f>
        <v/>
      </c>
    </row>
    <row r="8" customFormat="false" ht="15.75" hidden="false" customHeight="false" outlineLevel="0" collapsed="false">
      <c r="A8" s="3" t="s">
        <v>281</v>
      </c>
      <c r="B8" s="3" t="s">
        <v>54</v>
      </c>
      <c r="C8" s="3"/>
      <c r="D8" s="4" t="str">
        <f aca="false">IF(AND(EXACT(B8,C8),NOT(AND(ISBLANK(B8),ISBLANK(C8)))), "Common", "")</f>
        <v/>
      </c>
    </row>
    <row r="9" customFormat="false" ht="15.75" hidden="false" customHeight="false" outlineLevel="0" collapsed="false">
      <c r="A9" s="3" t="s">
        <v>282</v>
      </c>
      <c r="B9" s="3"/>
      <c r="C9" s="3" t="s">
        <v>184</v>
      </c>
    </row>
    <row r="10" customFormat="false" ht="15.75" hidden="false" customHeight="false" outlineLevel="0" collapsed="false">
      <c r="A10" s="4"/>
      <c r="D10" s="4" t="str">
        <f aca="false">IF(AND(EXACT(C13,C142),NOT(AND(ISBLANK(C13),ISBLANK(C142)))), "Common", "")</f>
        <v/>
      </c>
    </row>
    <row r="11" customFormat="false" ht="15.75" hidden="false" customHeight="false" outlineLevel="0" collapsed="false">
      <c r="A11" s="4"/>
      <c r="D11" s="4" t="str">
        <f aca="false">IF(AND(EXACT(B143,C143),NOT(AND(ISBLANK(B143),ISBLANK(C143)))), "Common", "")</f>
        <v>Common</v>
      </c>
    </row>
    <row r="12" customFormat="false" ht="15.75" hidden="false" customHeight="false" outlineLevel="0" collapsed="false">
      <c r="A12" s="4"/>
      <c r="D12" s="4" t="str">
        <f aca="false">IF(AND(EXACT(B144,C144),NOT(AND(ISBLANK(B144),ISBLANK(C144)))), "Common", "")</f>
        <v/>
      </c>
    </row>
    <row r="13" customFormat="false" ht="15.75" hidden="false" customHeight="false" outlineLevel="0" collapsed="false">
      <c r="A13" s="3" t="s">
        <v>283</v>
      </c>
      <c r="B13" s="3" t="s">
        <v>241</v>
      </c>
      <c r="C13" s="3" t="s">
        <v>241</v>
      </c>
    </row>
    <row r="14" customFormat="false" ht="15.75" hidden="false" customHeight="false" outlineLevel="0" collapsed="false">
      <c r="A14" s="3" t="s">
        <v>283</v>
      </c>
      <c r="B14" s="3" t="s">
        <v>70</v>
      </c>
      <c r="C14" s="3"/>
    </row>
    <row r="15" customFormat="false" ht="15.75" hidden="false" customHeight="false" outlineLevel="0" collapsed="false">
      <c r="A15" s="3" t="s">
        <v>283</v>
      </c>
      <c r="B15" s="3"/>
      <c r="C15" s="3" t="s">
        <v>104</v>
      </c>
    </row>
    <row r="16" customFormat="false" ht="15.75" hidden="false" customHeight="false" outlineLevel="0" collapsed="false">
      <c r="A16" s="3" t="s">
        <v>283</v>
      </c>
      <c r="B16" s="3"/>
      <c r="C16" s="3" t="s">
        <v>106</v>
      </c>
    </row>
    <row r="17" customFormat="false" ht="15.75" hidden="false" customHeight="false" outlineLevel="0" collapsed="false">
      <c r="A17" s="3" t="s">
        <v>283</v>
      </c>
      <c r="B17" s="3"/>
      <c r="C17" s="3" t="s">
        <v>218</v>
      </c>
    </row>
    <row r="18" customFormat="false" ht="15.75" hidden="false" customHeight="false" outlineLevel="0" collapsed="false">
      <c r="A18" s="3" t="s">
        <v>283</v>
      </c>
      <c r="B18" s="3"/>
    </row>
    <row r="19" customFormat="false" ht="15.75" hidden="false" customHeight="false" outlineLevel="0" collapsed="false">
      <c r="A19" s="3" t="s">
        <v>283</v>
      </c>
      <c r="B19" s="3"/>
      <c r="C19" s="3" t="s">
        <v>223</v>
      </c>
      <c r="E19" s="3"/>
    </row>
    <row r="20" customFormat="false" ht="15.75" hidden="false" customHeight="false" outlineLevel="0" collapsed="false">
      <c r="A20" s="3" t="s">
        <v>283</v>
      </c>
      <c r="B20" s="3" t="s">
        <v>273</v>
      </c>
      <c r="C20" s="3"/>
    </row>
    <row r="21" customFormat="false" ht="15.75" hidden="false" customHeight="false" outlineLevel="0" collapsed="false">
      <c r="A21" s="3" t="s">
        <v>284</v>
      </c>
      <c r="B21" s="3" t="s">
        <v>130</v>
      </c>
      <c r="C21" s="3" t="s">
        <v>130</v>
      </c>
      <c r="D21" s="4" t="str">
        <f aca="false">IF(AND(EXACT(B21,C21),NOT(AND(ISBLANK(B21),ISBLANK(C21)))), "Common", "")</f>
        <v>Common</v>
      </c>
    </row>
    <row r="22" customFormat="false" ht="15.75" hidden="false" customHeight="false" outlineLevel="0" collapsed="false">
      <c r="A22" s="3" t="s">
        <v>284</v>
      </c>
      <c r="B22" s="3" t="s">
        <v>68</v>
      </c>
    </row>
    <row r="23" customFormat="false" ht="15.75" hidden="false" customHeight="false" outlineLevel="0" collapsed="false">
      <c r="A23" s="4"/>
      <c r="B23" s="3"/>
      <c r="C23" s="3"/>
      <c r="D23" s="4" t="str">
        <f aca="false">IF(AND(EXACT(B23,C23),NOT(AND(ISBLANK(B23),ISBLANK(C23)))), "Common", "")</f>
        <v/>
      </c>
    </row>
    <row r="24" customFormat="false" ht="15.75" hidden="false" customHeight="false" outlineLevel="0" collapsed="false">
      <c r="A24" s="4"/>
      <c r="B24" s="3"/>
      <c r="C24" s="3"/>
      <c r="D24" s="4" t="str">
        <f aca="false">IF(AND(EXACT(B24,C24),NOT(AND(ISBLANK(B24),ISBLANK(C24)))), "Common", "")</f>
        <v/>
      </c>
    </row>
    <row r="25" customFormat="false" ht="15.75" hidden="false" customHeight="false" outlineLevel="0" collapsed="false">
      <c r="A25" s="4"/>
      <c r="B25" s="3"/>
      <c r="C25" s="3"/>
      <c r="D25" s="4" t="str">
        <f aca="false">IF(AND(EXACT(B25,C25),NOT(AND(ISBLANK(B25),ISBLANK(C25)))), "Common", "")</f>
        <v/>
      </c>
    </row>
    <row r="26" customFormat="false" ht="15.75" hidden="false" customHeight="false" outlineLevel="0" collapsed="false">
      <c r="A26" s="4"/>
      <c r="B26" s="3"/>
      <c r="C26" s="3"/>
      <c r="D26" s="4" t="str">
        <f aca="false">IF(AND(EXACT(B26,C26),NOT(AND(ISBLANK(B26),ISBLANK(C26)))), "Common", "")</f>
        <v/>
      </c>
    </row>
    <row r="27" customFormat="false" ht="15.75" hidden="false" customHeight="false" outlineLevel="0" collapsed="false">
      <c r="A27" s="4"/>
      <c r="B27" s="3"/>
      <c r="C27" s="3"/>
    </row>
    <row r="28" customFormat="false" ht="15.75" hidden="false" customHeight="false" outlineLevel="0" collapsed="false">
      <c r="A28" s="4"/>
      <c r="B28" s="3"/>
      <c r="C28" s="3"/>
    </row>
    <row r="29" customFormat="false" ht="15.75" hidden="false" customHeight="false" outlineLevel="0" collapsed="false">
      <c r="A29" s="4"/>
      <c r="B29" s="3"/>
      <c r="C29" s="3"/>
    </row>
    <row r="30" customFormat="false" ht="15.75" hidden="false" customHeight="false" outlineLevel="0" collapsed="false">
      <c r="A30" s="4"/>
      <c r="B30" s="3"/>
      <c r="C30" s="3"/>
    </row>
    <row r="31" customFormat="false" ht="15.75" hidden="false" customHeight="false" outlineLevel="0" collapsed="false">
      <c r="A31" s="4"/>
      <c r="B31" s="3"/>
      <c r="C31" s="3"/>
    </row>
    <row r="32" customFormat="false" ht="15.75" hidden="false" customHeight="false" outlineLevel="0" collapsed="false">
      <c r="A32" s="3" t="s">
        <v>285</v>
      </c>
      <c r="B32" s="3" t="s">
        <v>162</v>
      </c>
      <c r="C32" s="3" t="s">
        <v>162</v>
      </c>
    </row>
    <row r="33" customFormat="false" ht="15.75" hidden="false" customHeight="false" outlineLevel="0" collapsed="false">
      <c r="A33" s="3" t="s">
        <v>285</v>
      </c>
      <c r="B33" s="3" t="s">
        <v>166</v>
      </c>
      <c r="C33" s="3" t="s">
        <v>166</v>
      </c>
    </row>
    <row r="34" customFormat="false" ht="15.75" hidden="false" customHeight="false" outlineLevel="0" collapsed="false">
      <c r="A34" s="3" t="s">
        <v>285</v>
      </c>
      <c r="B34" s="3" t="s">
        <v>168</v>
      </c>
      <c r="C34" s="3" t="s">
        <v>168</v>
      </c>
    </row>
    <row r="35" customFormat="false" ht="15.75" hidden="false" customHeight="false" outlineLevel="0" collapsed="false">
      <c r="A35" s="3" t="s">
        <v>285</v>
      </c>
      <c r="B35" s="3" t="s">
        <v>170</v>
      </c>
      <c r="C35" s="3" t="s">
        <v>170</v>
      </c>
    </row>
    <row r="36" customFormat="false" ht="15.75" hidden="false" customHeight="false" outlineLevel="0" collapsed="false">
      <c r="A36" s="3" t="s">
        <v>285</v>
      </c>
      <c r="B36" s="3" t="s">
        <v>171</v>
      </c>
      <c r="C36" s="3" t="s">
        <v>171</v>
      </c>
    </row>
    <row r="37" customFormat="false" ht="15.75" hidden="false" customHeight="false" outlineLevel="0" collapsed="false">
      <c r="A37" s="3" t="s">
        <v>285</v>
      </c>
      <c r="B37" s="3" t="s">
        <v>173</v>
      </c>
      <c r="C37" s="3" t="s">
        <v>173</v>
      </c>
      <c r="D37" s="4" t="str">
        <f aca="false">IF(AND(EXACT(B32,C32),NOT(AND(ISBLANK(B32),ISBLANK(C32)))), "Common", "")</f>
        <v>Common</v>
      </c>
    </row>
    <row r="38" customFormat="false" ht="15.75" hidden="false" customHeight="false" outlineLevel="0" collapsed="false">
      <c r="A38" s="3" t="s">
        <v>285</v>
      </c>
      <c r="B38" s="3" t="s">
        <v>177</v>
      </c>
      <c r="C38" s="3" t="s">
        <v>177</v>
      </c>
    </row>
    <row r="39" customFormat="false" ht="15.75" hidden="false" customHeight="false" outlineLevel="0" collapsed="false">
      <c r="A39" s="3" t="s">
        <v>285</v>
      </c>
      <c r="B39" s="3" t="s">
        <v>173</v>
      </c>
      <c r="C39" s="3" t="s">
        <v>175</v>
      </c>
      <c r="D39" s="4" t="str">
        <f aca="false">IF(AND(EXACT(B33,C33),NOT(AND(ISBLANK(B33),ISBLANK(C33)))), "Common", "")</f>
        <v>Common</v>
      </c>
    </row>
    <row r="40" customFormat="false" ht="15.75" hidden="false" customHeight="false" outlineLevel="0" collapsed="false">
      <c r="A40" s="3" t="s">
        <v>285</v>
      </c>
      <c r="B40" s="3" t="s">
        <v>188</v>
      </c>
      <c r="C40" s="3" t="s">
        <v>168</v>
      </c>
      <c r="D40" s="4" t="str">
        <f aca="false">IF(AND(EXACT(B34,C34),NOT(AND(ISBLANK(B34),ISBLANK(C34)))), "Common", "")</f>
        <v>Common</v>
      </c>
    </row>
    <row r="41" customFormat="false" ht="15.75" hidden="false" customHeight="false" outlineLevel="0" collapsed="false">
      <c r="A41" s="3" t="s">
        <v>285</v>
      </c>
      <c r="B41" s="3" t="s">
        <v>190</v>
      </c>
      <c r="C41" s="3" t="s">
        <v>170</v>
      </c>
      <c r="D41" s="4" t="str">
        <f aca="false">IF(AND(EXACT(B35,C35),NOT(AND(ISBLANK(B35),ISBLANK(C35)))), "Common", "")</f>
        <v>Common</v>
      </c>
    </row>
    <row r="42" customFormat="false" ht="15.75" hidden="false" customHeight="false" outlineLevel="0" collapsed="false">
      <c r="A42" s="3" t="s">
        <v>285</v>
      </c>
      <c r="B42" s="3" t="s">
        <v>199</v>
      </c>
      <c r="C42" s="3" t="s">
        <v>168</v>
      </c>
      <c r="D42" s="4" t="str">
        <f aca="false">IF(AND(EXACT(B36,C36),NOT(AND(ISBLANK(B36),ISBLANK(C36)))), "Common", "")</f>
        <v>Common</v>
      </c>
    </row>
    <row r="43" customFormat="false" ht="15.75" hidden="false" customHeight="false" outlineLevel="0" collapsed="false">
      <c r="A43" s="3" t="s">
        <v>285</v>
      </c>
      <c r="B43" s="3" t="s">
        <v>201</v>
      </c>
      <c r="C43" s="3" t="s">
        <v>182</v>
      </c>
      <c r="D43" s="4" t="str">
        <f aca="false">IF(AND(EXACT(B37,C37),NOT(AND(ISBLANK(B37),ISBLANK(C37)))), "Common", "")</f>
        <v>Common</v>
      </c>
    </row>
    <row r="44" customFormat="false" ht="15.75" hidden="false" customHeight="false" outlineLevel="0" collapsed="false">
      <c r="A44" s="3" t="s">
        <v>285</v>
      </c>
      <c r="B44" s="3" t="s">
        <v>203</v>
      </c>
      <c r="C44" s="3"/>
      <c r="D44" s="4" t="str">
        <f aca="false">IF(AND(EXACT(B38,C38),NOT(AND(ISBLANK(B38),ISBLANK(C38)))), "Common", "")</f>
        <v>Common</v>
      </c>
    </row>
    <row r="45" customFormat="false" ht="15.75" hidden="false" customHeight="false" outlineLevel="0" collapsed="false">
      <c r="A45" s="3" t="s">
        <v>285</v>
      </c>
      <c r="B45" s="3" t="s">
        <v>205</v>
      </c>
      <c r="C45" s="3"/>
      <c r="D45" s="4" t="str">
        <f aca="false">IF(AND(EXACT(B27,C27),NOT(AND(ISBLANK(B27),ISBLANK(C27)))), "Common", "")</f>
        <v/>
      </c>
    </row>
    <row r="46" customFormat="false" ht="15.75" hidden="false" customHeight="false" outlineLevel="0" collapsed="false">
      <c r="A46" s="3" t="s">
        <v>285</v>
      </c>
      <c r="B46" s="3" t="s">
        <v>207</v>
      </c>
      <c r="C46" s="3"/>
      <c r="D46" s="4" t="str">
        <f aca="false">IF(AND(EXACT(B28,C28),NOT(AND(ISBLANK(B28),ISBLANK(C28)))), "Common", "")</f>
        <v/>
      </c>
    </row>
    <row r="47" customFormat="false" ht="15.75" hidden="false" customHeight="false" outlineLevel="0" collapsed="false">
      <c r="A47" s="3" t="s">
        <v>285</v>
      </c>
      <c r="B47" s="3" t="s">
        <v>195</v>
      </c>
      <c r="C47" s="3"/>
      <c r="D47" s="4" t="str">
        <f aca="false">IF(AND(EXACT(B39,C39),NOT(AND(ISBLANK(B39),ISBLANK(C39)))), "Common", "")</f>
        <v/>
      </c>
    </row>
    <row r="48" customFormat="false" ht="15.75" hidden="false" customHeight="false" outlineLevel="0" collapsed="false">
      <c r="A48" s="3" t="s">
        <v>285</v>
      </c>
      <c r="B48" s="3" t="s">
        <v>197</v>
      </c>
      <c r="C48" s="3"/>
      <c r="D48" s="4" t="str">
        <f aca="false">IF(AND(EXACT(B40,C40),NOT(AND(ISBLANK(B40),ISBLANK(C40)))), "Common", "")</f>
        <v/>
      </c>
    </row>
    <row r="49" customFormat="false" ht="15.75" hidden="false" customHeight="false" outlineLevel="0" collapsed="false">
      <c r="A49" s="3" t="s">
        <v>285</v>
      </c>
      <c r="B49" s="3"/>
      <c r="C49" s="3" t="s">
        <v>179</v>
      </c>
      <c r="D49" s="4" t="str">
        <f aca="false">IF(AND(EXACT(B41,C41),NOT(AND(ISBLANK(B41),ISBLANK(C41)))), "Common", "")</f>
        <v/>
      </c>
    </row>
    <row r="50" customFormat="false" ht="15.75" hidden="false" customHeight="false" outlineLevel="0" collapsed="false">
      <c r="A50" s="3" t="s">
        <v>285</v>
      </c>
      <c r="B50" s="3"/>
      <c r="C50" s="3" t="s">
        <v>180</v>
      </c>
      <c r="D50" s="4" t="str">
        <f aca="false">IF(AND(EXACT(B42,C42),NOT(AND(ISBLANK(B42),ISBLANK(C42)))), "Common", "")</f>
        <v/>
      </c>
    </row>
    <row r="51" customFormat="false" ht="15.75" hidden="false" customHeight="false" outlineLevel="0" collapsed="false">
      <c r="A51" s="3" t="s">
        <v>286</v>
      </c>
      <c r="B51" s="3" t="s">
        <v>156</v>
      </c>
      <c r="C51" s="3" t="s">
        <v>156</v>
      </c>
    </row>
    <row r="52" customFormat="false" ht="15.75" hidden="false" customHeight="false" outlineLevel="0" collapsed="false">
      <c r="A52" s="3" t="s">
        <v>286</v>
      </c>
      <c r="B52" s="3" t="s">
        <v>156</v>
      </c>
      <c r="C52" s="3" t="s">
        <v>158</v>
      </c>
    </row>
    <row r="53" customFormat="false" ht="15.75" hidden="false" customHeight="false" outlineLevel="0" collapsed="false">
      <c r="A53" s="3" t="s">
        <v>286</v>
      </c>
      <c r="C53" s="3" t="s">
        <v>181</v>
      </c>
    </row>
    <row r="54" customFormat="false" ht="15.75" hidden="false" customHeight="false" outlineLevel="0" collapsed="false">
      <c r="A54" s="4"/>
    </row>
    <row r="55" customFormat="false" ht="15.75" hidden="false" customHeight="false" outlineLevel="0" collapsed="false">
      <c r="A55" s="4"/>
      <c r="D55" s="4" t="str">
        <f aca="false">IF(AND(EXACT(B50,C50),NOT(AND(ISBLANK(B50),ISBLANK(C50)))), "Common", "")</f>
        <v/>
      </c>
    </row>
    <row r="56" customFormat="false" ht="15.75" hidden="false" customHeight="false" outlineLevel="0" collapsed="false">
      <c r="A56" s="3" t="s">
        <v>287</v>
      </c>
      <c r="B56" s="3" t="s">
        <v>264</v>
      </c>
      <c r="D56" s="4" t="str">
        <f aca="false">IF(AND(EXACT(B56,C284),NOT(AND(ISBLANK(B56),ISBLANK(C284)))), "Common", "")</f>
        <v/>
      </c>
    </row>
    <row r="57" customFormat="false" ht="15.75" hidden="false" customHeight="false" outlineLevel="0" collapsed="false">
      <c r="A57" s="4"/>
      <c r="B57" s="3"/>
      <c r="D57" s="4" t="str">
        <f aca="false">IF(AND(EXACT(B57,C285),NOT(AND(ISBLANK(B57),ISBLANK(C285)))), "Common", "")</f>
        <v/>
      </c>
    </row>
    <row r="58" customFormat="false" ht="15.75" hidden="false" customHeight="false" outlineLevel="0" collapsed="false">
      <c r="A58" s="4"/>
      <c r="B58" s="3"/>
      <c r="D58" s="4" t="str">
        <f aca="false">IF(AND(EXACT(B58,C286),NOT(AND(ISBLANK(B58),ISBLANK(C286)))), "Common", "")</f>
        <v/>
      </c>
    </row>
    <row r="59" customFormat="false" ht="15.75" hidden="false" customHeight="false" outlineLevel="0" collapsed="false">
      <c r="A59" s="4"/>
    </row>
    <row r="60" customFormat="false" ht="15.75" hidden="false" customHeight="false" outlineLevel="0" collapsed="false">
      <c r="A60" s="4"/>
      <c r="D60" s="4" t="str">
        <f aca="false">IF(AND(EXACT(B95,C95),NOT(AND(ISBLANK(B95),ISBLANK(C95)))), "Common", "")</f>
        <v/>
      </c>
    </row>
    <row r="61" customFormat="false" ht="15.75" hidden="false" customHeight="false" outlineLevel="0" collapsed="false">
      <c r="A61" s="3" t="s">
        <v>288</v>
      </c>
      <c r="B61" s="3" t="s">
        <v>107</v>
      </c>
    </row>
    <row r="62" customFormat="false" ht="15.75" hidden="false" customHeight="false" outlineLevel="0" collapsed="false">
      <c r="A62" s="4"/>
      <c r="B62" s="3"/>
      <c r="C62" s="3"/>
      <c r="D62" s="4" t="str">
        <f aca="false">IF(AND(EXACT(B62,C62),NOT(AND(ISBLANK(B62),ISBLANK(C62)))), "Common", "")</f>
        <v/>
      </c>
    </row>
    <row r="63" customFormat="false" ht="15.75" hidden="false" customHeight="false" outlineLevel="0" collapsed="false">
      <c r="A63" s="3" t="s">
        <v>289</v>
      </c>
      <c r="B63" s="3" t="s">
        <v>189</v>
      </c>
      <c r="C63" s="3" t="s">
        <v>189</v>
      </c>
      <c r="D63" s="4" t="str">
        <f aca="false">IF(AND(EXACT(B63,C63),NOT(AND(ISBLANK(B63),ISBLANK(C63)))), "Common", "")</f>
        <v>Common</v>
      </c>
    </row>
    <row r="64" customFormat="false" ht="15.75" hidden="false" customHeight="false" outlineLevel="0" collapsed="false">
      <c r="A64" s="3" t="s">
        <v>289</v>
      </c>
      <c r="B64" s="3" t="s">
        <v>147</v>
      </c>
      <c r="C64" s="3" t="s">
        <v>189</v>
      </c>
      <c r="D64" s="4" t="str">
        <f aca="false">IF(AND(EXACT(B64,C64),NOT(AND(ISBLANK(B64),ISBLANK(C64)))), "Common", "")</f>
        <v/>
      </c>
    </row>
    <row r="65" customFormat="false" ht="15.75" hidden="false" customHeight="false" outlineLevel="0" collapsed="false">
      <c r="A65" s="3" t="s">
        <v>289</v>
      </c>
      <c r="B65" s="3" t="s">
        <v>137</v>
      </c>
      <c r="C65" s="3" t="s">
        <v>137</v>
      </c>
      <c r="D65" s="4" t="str">
        <f aca="false">IF(AND(EXACT(B65,C65),NOT(AND(ISBLANK(B65),ISBLANK(C65)))), "Common", "")</f>
        <v>Common</v>
      </c>
    </row>
    <row r="66" customFormat="false" ht="15.75" hidden="false" customHeight="false" outlineLevel="0" collapsed="false">
      <c r="A66" s="3" t="s">
        <v>290</v>
      </c>
      <c r="B66" s="3" t="s">
        <v>21</v>
      </c>
      <c r="C66" s="3" t="s">
        <v>21</v>
      </c>
      <c r="D66" s="4" t="str">
        <f aca="false">IF(AND(EXACT(B66,C66),NOT(AND(ISBLANK(B66),ISBLANK(C66)))), "Common", "")</f>
        <v>Common</v>
      </c>
    </row>
    <row r="67" customFormat="false" ht="15.75" hidden="false" customHeight="false" outlineLevel="0" collapsed="false">
      <c r="A67" s="3" t="s">
        <v>290</v>
      </c>
      <c r="B67" s="3" t="s">
        <v>25</v>
      </c>
      <c r="C67" s="3" t="s">
        <v>25</v>
      </c>
      <c r="D67" s="4" t="str">
        <f aca="false">IF(AND(EXACT(B67,C67),NOT(AND(ISBLANK(B67),ISBLANK(C67)))), "Common", "")</f>
        <v>Common</v>
      </c>
    </row>
    <row r="68" customFormat="false" ht="15.75" hidden="false" customHeight="false" outlineLevel="0" collapsed="false">
      <c r="A68" s="3" t="s">
        <v>291</v>
      </c>
      <c r="B68" s="3" t="s">
        <v>44</v>
      </c>
      <c r="C68" s="3" t="s">
        <v>44</v>
      </c>
      <c r="D68" s="4" t="str">
        <f aca="false">IF(AND(EXACT(B68,C68),NOT(AND(ISBLANK(B68),ISBLANK(C68)))), "Common", "")</f>
        <v>Common</v>
      </c>
    </row>
    <row r="69" customFormat="false" ht="15.75" hidden="false" customHeight="false" outlineLevel="0" collapsed="false">
      <c r="A69" s="3" t="s">
        <v>291</v>
      </c>
      <c r="B69" s="3" t="s">
        <v>261</v>
      </c>
      <c r="C69" s="3" t="s">
        <v>261</v>
      </c>
      <c r="D69" s="4" t="str">
        <f aca="false">IF(AND(EXACT(B69,C69),NOT(AND(ISBLANK(B69),ISBLANK(C69)))), "Common", "")</f>
        <v>Common</v>
      </c>
    </row>
    <row r="70" customFormat="false" ht="15.75" hidden="false" customHeight="false" outlineLevel="0" collapsed="false">
      <c r="A70" s="3" t="s">
        <v>291</v>
      </c>
      <c r="B70" s="3" t="s">
        <v>237</v>
      </c>
      <c r="C70" s="3" t="s">
        <v>13</v>
      </c>
      <c r="D70" s="4" t="str">
        <f aca="false">IF(AND(EXACT(B70,C70),NOT(AND(ISBLANK(B70),ISBLANK(C70)))), "Common", "")</f>
        <v/>
      </c>
    </row>
    <row r="71" customFormat="false" ht="15.75" hidden="false" customHeight="false" outlineLevel="0" collapsed="false">
      <c r="A71" s="3" t="s">
        <v>291</v>
      </c>
      <c r="B71" s="3" t="s">
        <v>235</v>
      </c>
      <c r="C71" s="3"/>
    </row>
    <row r="72" customFormat="false" ht="15.75" hidden="false" customHeight="false" outlineLevel="0" collapsed="false">
      <c r="A72" s="3" t="s">
        <v>290</v>
      </c>
      <c r="B72" s="3" t="s">
        <v>21</v>
      </c>
      <c r="C72" s="3" t="s">
        <v>18</v>
      </c>
      <c r="D72" s="4" t="str">
        <f aca="false">IF(AND(EXACT(B72,C72),NOT(AND(ISBLANK(B72),ISBLANK(C72)))), "Common", "")</f>
        <v/>
      </c>
    </row>
    <row r="73" customFormat="false" ht="15.75" hidden="false" customHeight="false" outlineLevel="0" collapsed="false">
      <c r="A73" s="3" t="s">
        <v>290</v>
      </c>
      <c r="B73" s="3" t="s">
        <v>25</v>
      </c>
      <c r="C73" s="3" t="s">
        <v>103</v>
      </c>
      <c r="D73" s="4" t="str">
        <f aca="false">IF(AND(EXACT(B73,C73),NOT(AND(ISBLANK(B73),ISBLANK(C73)))), "Common", "")</f>
        <v/>
      </c>
    </row>
    <row r="74" customFormat="false" ht="15.75" hidden="false" customHeight="false" outlineLevel="0" collapsed="false">
      <c r="A74" s="3" t="s">
        <v>289</v>
      </c>
      <c r="B74" s="3" t="s">
        <v>246</v>
      </c>
      <c r="C74" s="3" t="s">
        <v>65</v>
      </c>
      <c r="D74" s="4" t="str">
        <f aca="false">IF(AND(EXACT(B74,C74),NOT(AND(ISBLANK(B74),ISBLANK(C74)))), "Common", "")</f>
        <v/>
      </c>
    </row>
    <row r="75" customFormat="false" ht="15.75" hidden="false" customHeight="false" outlineLevel="0" collapsed="false">
      <c r="A75" s="3" t="s">
        <v>289</v>
      </c>
      <c r="B75" s="3"/>
      <c r="C75" s="3" t="s">
        <v>253</v>
      </c>
      <c r="D75" s="4" t="str">
        <f aca="false">IF(AND(EXACT(B75,C75),NOT(AND(ISBLANK(B75),ISBLANK(C75)))), "Common", "")</f>
        <v/>
      </c>
    </row>
    <row r="76" customFormat="false" ht="15.75" hidden="false" customHeight="false" outlineLevel="0" collapsed="false">
      <c r="A76" s="3" t="s">
        <v>289</v>
      </c>
      <c r="B76" s="3" t="s">
        <v>133</v>
      </c>
      <c r="C76" s="3" t="s">
        <v>98</v>
      </c>
      <c r="D76" s="4" t="str">
        <f aca="false">IF(AND(EXACT(B76,C76),NOT(AND(ISBLANK(B76),ISBLANK(C76)))), "Common", "")</f>
        <v/>
      </c>
    </row>
    <row r="77" customFormat="false" ht="15.75" hidden="false" customHeight="false" outlineLevel="0" collapsed="false">
      <c r="A77" s="3" t="s">
        <v>289</v>
      </c>
      <c r="B77" s="3" t="s">
        <v>227</v>
      </c>
      <c r="C77" s="3" t="s">
        <v>220</v>
      </c>
      <c r="D77" s="4" t="str">
        <f aca="false">IF(AND(EXACT(B77,C77),NOT(AND(ISBLANK(B77),ISBLANK(C77)))), "Common", "")</f>
        <v/>
      </c>
    </row>
    <row r="78" customFormat="false" ht="15.75" hidden="false" customHeight="false" outlineLevel="0" collapsed="false">
      <c r="A78" s="3" t="s">
        <v>289</v>
      </c>
      <c r="B78" s="3" t="s">
        <v>75</v>
      </c>
      <c r="C78" s="3"/>
    </row>
    <row r="79" customFormat="false" ht="15.75" hidden="false" customHeight="false" outlineLevel="0" collapsed="false">
      <c r="A79" s="3" t="s">
        <v>289</v>
      </c>
      <c r="B79" s="3" t="s">
        <v>109</v>
      </c>
      <c r="C79" s="3"/>
    </row>
    <row r="80" customFormat="false" ht="15.75" hidden="false" customHeight="false" outlineLevel="0" collapsed="false">
      <c r="A80" s="3" t="s">
        <v>289</v>
      </c>
      <c r="B80" s="3"/>
      <c r="C80" s="3" t="s">
        <v>196</v>
      </c>
    </row>
    <row r="81" customFormat="false" ht="15.75" hidden="false" customHeight="false" outlineLevel="0" collapsed="false">
      <c r="A81" s="3" t="s">
        <v>289</v>
      </c>
      <c r="B81" s="3"/>
    </row>
    <row r="82" customFormat="false" ht="15.75" hidden="false" customHeight="false" outlineLevel="0" collapsed="false">
      <c r="A82" s="3" t="s">
        <v>289</v>
      </c>
      <c r="B82" s="3" t="s">
        <v>229</v>
      </c>
      <c r="C82" s="3"/>
    </row>
    <row r="83" customFormat="false" ht="15.75" hidden="false" customHeight="false" outlineLevel="0" collapsed="false">
      <c r="A83" s="3" t="s">
        <v>292</v>
      </c>
      <c r="B83" s="3" t="s">
        <v>178</v>
      </c>
      <c r="C83" s="3" t="s">
        <v>8</v>
      </c>
      <c r="D83" s="4" t="str">
        <f aca="false">IF(AND(EXACT(B83,C83),NOT(AND(ISBLANK(B83),ISBLANK(C83)))), "Common", "")</f>
        <v/>
      </c>
    </row>
    <row r="84" customFormat="false" ht="15.75" hidden="false" customHeight="false" outlineLevel="0" collapsed="false">
      <c r="A84" s="3" t="s">
        <v>293</v>
      </c>
      <c r="B84" s="3" t="s">
        <v>113</v>
      </c>
      <c r="C84" s="3" t="s">
        <v>114</v>
      </c>
      <c r="D84" s="4" t="str">
        <f aca="false">IF(AND(EXACT(B84,C84),NOT(AND(ISBLANK(B84),ISBLANK(C84)))), "Common", "")</f>
        <v/>
      </c>
    </row>
    <row r="85" customFormat="false" ht="15.75" hidden="false" customHeight="false" outlineLevel="0" collapsed="false">
      <c r="A85" s="3" t="s">
        <v>293</v>
      </c>
      <c r="B85" s="3" t="s">
        <v>115</v>
      </c>
      <c r="C85" s="3" t="s">
        <v>116</v>
      </c>
      <c r="D85" s="4" t="str">
        <f aca="false">IF(AND(EXACT(B85,C85),NOT(AND(ISBLANK(B85),ISBLANK(C85)))), "Common", "")</f>
        <v/>
      </c>
    </row>
    <row r="86" customFormat="false" ht="15.75" hidden="false" customHeight="false" outlineLevel="0" collapsed="false">
      <c r="A86" s="3" t="s">
        <v>293</v>
      </c>
      <c r="B86" s="3" t="s">
        <v>117</v>
      </c>
      <c r="C86" s="3" t="s">
        <v>126</v>
      </c>
      <c r="D86" s="4" t="str">
        <f aca="false">IF(AND(EXACT(B86,C86),NOT(AND(ISBLANK(B86),ISBLANK(C86)))), "Common", "")</f>
        <v/>
      </c>
    </row>
    <row r="87" customFormat="false" ht="15.75" hidden="false" customHeight="false" outlineLevel="0" collapsed="false">
      <c r="A87" s="3" t="s">
        <v>293</v>
      </c>
      <c r="B87" s="3" t="s">
        <v>119</v>
      </c>
      <c r="C87" s="3" t="s">
        <v>118</v>
      </c>
      <c r="D87" s="4" t="str">
        <f aca="false">IF(AND(EXACT(B87,C87),NOT(AND(ISBLANK(B87),ISBLANK(C87)))), "Common", "")</f>
        <v/>
      </c>
    </row>
    <row r="88" customFormat="false" ht="15.75" hidden="false" customHeight="false" outlineLevel="0" collapsed="false">
      <c r="A88" s="3" t="s">
        <v>293</v>
      </c>
      <c r="B88" s="3" t="s">
        <v>121</v>
      </c>
      <c r="C88" s="3" t="s">
        <v>120</v>
      </c>
      <c r="D88" s="4" t="str">
        <f aca="false">IF(AND(EXACT(B88,C88),NOT(AND(ISBLANK(B88),ISBLANK(C88)))), "Common", "")</f>
        <v/>
      </c>
    </row>
    <row r="89" customFormat="false" ht="15.75" hidden="false" customHeight="false" outlineLevel="0" collapsed="false">
      <c r="A89" s="3" t="s">
        <v>293</v>
      </c>
      <c r="B89" s="3" t="s">
        <v>123</v>
      </c>
      <c r="C89" s="3"/>
      <c r="D89" s="4" t="str">
        <f aca="false">IF(AND(EXACT(B89,C89),NOT(AND(ISBLANK(B89),ISBLANK(C89)))), "Common", "")</f>
        <v/>
      </c>
    </row>
    <row r="90" customFormat="false" ht="15.75" hidden="false" customHeight="false" outlineLevel="0" collapsed="false">
      <c r="A90" s="3" t="s">
        <v>293</v>
      </c>
      <c r="B90" s="3" t="s">
        <v>125</v>
      </c>
      <c r="C90" s="3" t="s">
        <v>122</v>
      </c>
      <c r="D90" s="4" t="str">
        <f aca="false">IF(AND(EXACT(B90,C90),NOT(AND(ISBLANK(B90),ISBLANK(C90)))), "Common", "")</f>
        <v/>
      </c>
    </row>
    <row r="91" customFormat="false" ht="15.75" hidden="false" customHeight="false" outlineLevel="0" collapsed="false">
      <c r="A91" s="3" t="s">
        <v>293</v>
      </c>
      <c r="B91" s="3" t="s">
        <v>127</v>
      </c>
      <c r="C91" s="3"/>
      <c r="D91" s="4" t="str">
        <f aca="false">IF(AND(EXACT(B91,C91),NOT(AND(ISBLANK(B91),ISBLANK(C91)))), "Common", "")</f>
        <v/>
      </c>
    </row>
    <row r="92" customFormat="false" ht="15.75" hidden="false" customHeight="false" outlineLevel="0" collapsed="false">
      <c r="A92" s="3" t="s">
        <v>293</v>
      </c>
      <c r="B92" s="3" t="s">
        <v>129</v>
      </c>
      <c r="C92" s="3"/>
      <c r="D92" s="4" t="str">
        <f aca="false">IF(AND(EXACT(B92,C92),NOT(AND(ISBLANK(B92),ISBLANK(C92)))), "Common", "")</f>
        <v/>
      </c>
    </row>
    <row r="93" customFormat="false" ht="15.75" hidden="false" customHeight="false" outlineLevel="0" collapsed="false">
      <c r="A93" s="3" t="s">
        <v>293</v>
      </c>
      <c r="B93" s="3"/>
      <c r="C93" s="3" t="s">
        <v>124</v>
      </c>
      <c r="D93" s="4" t="str">
        <f aca="false">IF(AND(EXACT(B93,C93),NOT(AND(ISBLANK(B93),ISBLANK(C93)))), "Common", "")</f>
        <v/>
      </c>
    </row>
    <row r="94" customFormat="false" ht="15.75" hidden="false" customHeight="false" outlineLevel="0" collapsed="false">
      <c r="A94" s="3" t="s">
        <v>293</v>
      </c>
      <c r="B94" s="3"/>
      <c r="C94" s="3" t="s">
        <v>110</v>
      </c>
    </row>
    <row r="95" customFormat="false" ht="15.75" hidden="false" customHeight="false" outlineLevel="0" collapsed="false">
      <c r="A95" s="3" t="s">
        <v>293</v>
      </c>
      <c r="B95" s="3"/>
      <c r="C95" s="3" t="s">
        <v>112</v>
      </c>
    </row>
    <row r="96" customFormat="false" ht="15.75" hidden="false" customHeight="false" outlineLevel="0" collapsed="false">
      <c r="A96" s="3" t="s">
        <v>294</v>
      </c>
      <c r="B96" s="3" t="s">
        <v>142</v>
      </c>
      <c r="C96" s="3"/>
      <c r="D96" s="4" t="str">
        <f aca="false">IF(AND(EXACT(B96,C96),NOT(AND(ISBLANK(B96),ISBLANK(C96)))), "Common", "")</f>
        <v/>
      </c>
    </row>
    <row r="97" customFormat="false" ht="15.75" hidden="false" customHeight="false" outlineLevel="0" collapsed="false">
      <c r="A97" s="3" t="s">
        <v>294</v>
      </c>
      <c r="B97" s="3" t="s">
        <v>144</v>
      </c>
      <c r="C97" s="3"/>
      <c r="D97" s="4" t="str">
        <f aca="false">IF(AND(EXACT(B97,C97),NOT(AND(ISBLANK(B97),ISBLANK(C97)))), "Common", "")</f>
        <v/>
      </c>
    </row>
    <row r="98" customFormat="false" ht="15.75" hidden="false" customHeight="false" outlineLevel="0" collapsed="false">
      <c r="A98" s="3" t="s">
        <v>294</v>
      </c>
      <c r="B98" s="3" t="s">
        <v>111</v>
      </c>
      <c r="C98" s="3"/>
    </row>
    <row r="99" customFormat="false" ht="15.75" hidden="false" customHeight="false" outlineLevel="0" collapsed="false">
      <c r="A99" s="3" t="s">
        <v>294</v>
      </c>
      <c r="B99" s="3" t="s">
        <v>131</v>
      </c>
      <c r="C99" s="3"/>
      <c r="D99" s="4" t="str">
        <f aca="false">IF(AND(EXACT(B99,C99),NOT(AND(ISBLANK(B99),ISBLANK(C99)))), "Common", "")</f>
        <v/>
      </c>
    </row>
    <row r="100" customFormat="false" ht="15.75" hidden="false" customHeight="false" outlineLevel="0" collapsed="false">
      <c r="A100" s="3" t="s">
        <v>295</v>
      </c>
      <c r="B100" s="3" t="s">
        <v>239</v>
      </c>
      <c r="C100" s="3"/>
      <c r="D100" s="4" t="str">
        <f aca="false">IF(AND(EXACT(B100,C100),NOT(AND(ISBLANK(B100),ISBLANK(C100)))), "Common", "")</f>
        <v/>
      </c>
    </row>
    <row r="101" customFormat="false" ht="15.75" hidden="false" customHeight="false" outlineLevel="0" collapsed="false">
      <c r="A101" s="3" t="s">
        <v>295</v>
      </c>
      <c r="B101" s="3" t="s">
        <v>33</v>
      </c>
      <c r="C101" s="3" t="s">
        <v>33</v>
      </c>
      <c r="D101" s="4" t="str">
        <f aca="false">IF(AND(EXACT(B101,C101),NOT(AND(ISBLANK(B101),ISBLANK(C101)))), "Common", "")</f>
        <v>Common</v>
      </c>
    </row>
    <row r="102" customFormat="false" ht="15.75" hidden="false" customHeight="false" outlineLevel="0" collapsed="false">
      <c r="A102" s="3" t="s">
        <v>296</v>
      </c>
      <c r="B102" s="3" t="s">
        <v>150</v>
      </c>
      <c r="C102" s="3" t="s">
        <v>150</v>
      </c>
      <c r="D102" s="4" t="str">
        <f aca="false">IF(AND(EXACT(B102,C102),NOT(AND(ISBLANK(B102),ISBLANK(C102)))), "Common", "")</f>
        <v>Common</v>
      </c>
    </row>
    <row r="103" customFormat="false" ht="15.75" hidden="false" customHeight="false" outlineLevel="0" collapsed="false">
      <c r="A103" s="3" t="s">
        <v>295</v>
      </c>
      <c r="B103" s="3" t="s">
        <v>217</v>
      </c>
      <c r="C103" s="3" t="s">
        <v>217</v>
      </c>
      <c r="D103" s="4" t="str">
        <f aca="false">IF(AND(EXACT(B103,C103),NOT(AND(ISBLANK(B103),ISBLANK(C103)))), "Common", "")</f>
        <v>Common</v>
      </c>
    </row>
    <row r="104" customFormat="false" ht="15.75" hidden="false" customHeight="false" outlineLevel="0" collapsed="false">
      <c r="A104" s="3" t="s">
        <v>297</v>
      </c>
      <c r="B104" s="3" t="s">
        <v>259</v>
      </c>
      <c r="C104" s="3" t="s">
        <v>259</v>
      </c>
      <c r="D104" s="4" t="str">
        <f aca="false">IF(AND(EXACT(B104,C104),NOT(AND(ISBLANK(B104),ISBLANK(C104)))), "Common", "")</f>
        <v>Common</v>
      </c>
    </row>
    <row r="105" customFormat="false" ht="15.75" hidden="false" customHeight="false" outlineLevel="0" collapsed="false">
      <c r="A105" s="3" t="s">
        <v>297</v>
      </c>
      <c r="B105" s="3" t="s">
        <v>262</v>
      </c>
      <c r="C105" s="3" t="s">
        <v>262</v>
      </c>
      <c r="D105" s="4" t="str">
        <f aca="false">IF(AND(EXACT(B105,C105),NOT(AND(ISBLANK(B105),ISBLANK(C105)))), "Common", "")</f>
        <v>Common</v>
      </c>
    </row>
    <row r="106" customFormat="false" ht="15.75" hidden="false" customHeight="false" outlineLevel="0" collapsed="false">
      <c r="A106" s="3" t="s">
        <v>297</v>
      </c>
      <c r="B106" s="3" t="s">
        <v>9</v>
      </c>
      <c r="C106" s="3" t="s">
        <v>152</v>
      </c>
      <c r="D106" s="4" t="str">
        <f aca="false">IF(AND(EXACT(B106,C106),NOT(AND(ISBLANK(B106),ISBLANK(C106)))), "Common", "")</f>
        <v/>
      </c>
    </row>
    <row r="107" customFormat="false" ht="15.75" hidden="false" customHeight="false" outlineLevel="0" collapsed="false">
      <c r="A107" s="3" t="s">
        <v>296</v>
      </c>
      <c r="B107" s="3" t="s">
        <v>10</v>
      </c>
      <c r="C107" s="3"/>
      <c r="D107" s="4" t="str">
        <f aca="false">IF(AND(EXACT(B107,C107),NOT(AND(ISBLANK(B107),ISBLANK(C107)))), "Common", "")</f>
        <v/>
      </c>
    </row>
    <row r="108" customFormat="false" ht="15.75" hidden="false" customHeight="false" outlineLevel="0" collapsed="false">
      <c r="A108" s="3" t="s">
        <v>295</v>
      </c>
      <c r="B108" s="3" t="s">
        <v>57</v>
      </c>
      <c r="C108" s="3" t="s">
        <v>145</v>
      </c>
      <c r="D108" s="4" t="str">
        <f aca="false">IF(AND(EXACT(B108,C108),NOT(AND(ISBLANK(B108),ISBLANK(C108)))), "Common", "")</f>
        <v/>
      </c>
    </row>
    <row r="109" customFormat="false" ht="15.75" hidden="false" customHeight="false" outlineLevel="0" collapsed="false">
      <c r="A109" s="3" t="s">
        <v>295</v>
      </c>
      <c r="B109" s="3" t="s">
        <v>31</v>
      </c>
      <c r="D109" s="4" t="str">
        <f aca="false">IF(AND(EXACT(B109,C109),NOT(AND(ISBLANK(B109),ISBLANK(C109)))), "Common", "")</f>
        <v/>
      </c>
    </row>
    <row r="110" customFormat="false" ht="15.75" hidden="false" customHeight="false" outlineLevel="0" collapsed="false">
      <c r="A110" s="3" t="s">
        <v>295</v>
      </c>
      <c r="B110" s="3" t="s">
        <v>32</v>
      </c>
      <c r="D110" s="4" t="str">
        <f aca="false">IF(AND(EXACT(B110,C110),NOT(AND(ISBLANK(B110),ISBLANK(C110)))), "Common", "")</f>
        <v/>
      </c>
    </row>
    <row r="111" customFormat="false" ht="15.75" hidden="false" customHeight="false" outlineLevel="0" collapsed="false">
      <c r="A111" s="3" t="s">
        <v>295</v>
      </c>
      <c r="B111" s="3"/>
      <c r="C111" s="3" t="s">
        <v>69</v>
      </c>
    </row>
    <row r="112" customFormat="false" ht="15.75" hidden="false" customHeight="false" outlineLevel="0" collapsed="false">
      <c r="A112" s="3" t="s">
        <v>295</v>
      </c>
      <c r="B112" s="3"/>
      <c r="C112" s="3" t="s">
        <v>101</v>
      </c>
    </row>
    <row r="113" customFormat="false" ht="15.75" hidden="false" customHeight="false" outlineLevel="0" collapsed="false">
      <c r="A113" s="3" t="s">
        <v>297</v>
      </c>
      <c r="B113" s="3" t="s">
        <v>149</v>
      </c>
      <c r="C113" s="3"/>
    </row>
    <row r="114" customFormat="false" ht="15.75" hidden="false" customHeight="false" outlineLevel="0" collapsed="false">
      <c r="A114" s="3" t="s">
        <v>297</v>
      </c>
      <c r="B114" s="3" t="s">
        <v>275</v>
      </c>
      <c r="C114" s="3"/>
    </row>
    <row r="115" customFormat="false" ht="15.75" hidden="false" customHeight="false" outlineLevel="0" collapsed="false">
      <c r="A115" s="3" t="s">
        <v>298</v>
      </c>
      <c r="B115" s="3" t="s">
        <v>51</v>
      </c>
      <c r="C115" s="3" t="s">
        <v>51</v>
      </c>
      <c r="D115" s="4" t="str">
        <f aca="false">IF(AND(EXACT(B115,C115),NOT(AND(ISBLANK(B115),ISBLANK(C115)))), "Common", "")</f>
        <v>Common</v>
      </c>
    </row>
    <row r="116" customFormat="false" ht="15.75" hidden="false" customHeight="false" outlineLevel="0" collapsed="false">
      <c r="A116" s="3" t="s">
        <v>298</v>
      </c>
      <c r="B116" s="3"/>
      <c r="C116" s="3" t="s">
        <v>62</v>
      </c>
    </row>
    <row r="117" customFormat="false" ht="15.75" hidden="false" customHeight="false" outlineLevel="0" collapsed="false">
      <c r="A117" s="3" t="s">
        <v>298</v>
      </c>
      <c r="B117" s="3" t="s">
        <v>91</v>
      </c>
      <c r="C117" s="3"/>
    </row>
    <row r="118" customFormat="false" ht="15.75" hidden="false" customHeight="false" outlineLevel="0" collapsed="false">
      <c r="A118" s="3" t="s">
        <v>298</v>
      </c>
      <c r="B118" s="3"/>
      <c r="C118" s="3" t="s">
        <v>97</v>
      </c>
    </row>
    <row r="119" customFormat="false" ht="15.75" hidden="false" customHeight="false" outlineLevel="0" collapsed="false">
      <c r="A119" s="3" t="s">
        <v>298</v>
      </c>
      <c r="B119" s="3"/>
      <c r="C119" s="3" t="s">
        <v>108</v>
      </c>
    </row>
    <row r="120" customFormat="false" ht="15.75" hidden="false" customHeight="false" outlineLevel="0" collapsed="false">
      <c r="A120" s="3" t="s">
        <v>298</v>
      </c>
      <c r="B120" s="3"/>
      <c r="C120" s="3" t="s">
        <v>136</v>
      </c>
    </row>
    <row r="121" customFormat="false" ht="15.75" hidden="false" customHeight="false" outlineLevel="0" collapsed="false">
      <c r="A121" s="3" t="s">
        <v>298</v>
      </c>
      <c r="B121" s="3"/>
      <c r="C121" s="3" t="s">
        <v>143</v>
      </c>
    </row>
    <row r="122" customFormat="false" ht="15.75" hidden="false" customHeight="false" outlineLevel="0" collapsed="false">
      <c r="A122" s="3" t="s">
        <v>298</v>
      </c>
      <c r="B122" s="3"/>
      <c r="C122" s="3" t="s">
        <v>148</v>
      </c>
    </row>
    <row r="123" customFormat="false" ht="15.75" hidden="false" customHeight="false" outlineLevel="0" collapsed="false">
      <c r="A123" s="3" t="s">
        <v>299</v>
      </c>
      <c r="B123" s="3"/>
      <c r="C123" s="3" t="s">
        <v>185</v>
      </c>
    </row>
    <row r="124" customFormat="false" ht="15.75" hidden="false" customHeight="false" outlineLevel="0" collapsed="false">
      <c r="A124" s="3" t="s">
        <v>300</v>
      </c>
      <c r="B124" s="3" t="s">
        <v>76</v>
      </c>
      <c r="C124" s="3" t="s">
        <v>76</v>
      </c>
      <c r="D124" s="4" t="str">
        <f aca="false">IF(AND(EXACT(B124,C124),NOT(AND(ISBLANK(B124),ISBLANK(C124)))), "Common", "")</f>
        <v>Common</v>
      </c>
    </row>
    <row r="125" customFormat="false" ht="15.75" hidden="false" customHeight="false" outlineLevel="0" collapsed="false">
      <c r="A125" s="3" t="s">
        <v>301</v>
      </c>
      <c r="B125" s="3"/>
      <c r="C125" s="3" t="s">
        <v>50</v>
      </c>
    </row>
    <row r="126" customFormat="false" ht="15.75" hidden="false" customHeight="false" outlineLevel="0" collapsed="false">
      <c r="A126" s="3" t="s">
        <v>302</v>
      </c>
      <c r="B126" s="3" t="s">
        <v>66</v>
      </c>
      <c r="C126" s="3" t="s">
        <v>66</v>
      </c>
      <c r="D126" s="4" t="str">
        <f aca="false">IF(AND(EXACT(B126,C126),NOT(AND(ISBLANK(B126),ISBLANK(C126)))), "Common", "")</f>
        <v>Common</v>
      </c>
    </row>
    <row r="127" customFormat="false" ht="15.75" hidden="false" customHeight="false" outlineLevel="0" collapsed="false">
      <c r="A127" s="3" t="s">
        <v>303</v>
      </c>
      <c r="B127" s="3" t="s">
        <v>100</v>
      </c>
      <c r="C127" s="3" t="s">
        <v>100</v>
      </c>
      <c r="D127" s="4" t="str">
        <f aca="false">IF(AND(EXACT(B127,C127),NOT(AND(ISBLANK(B127),ISBLANK(C127)))), "Common", "")</f>
        <v>Common</v>
      </c>
    </row>
    <row r="128" customFormat="false" ht="15.75" hidden="false" customHeight="false" outlineLevel="0" collapsed="false">
      <c r="A128" s="3" t="s">
        <v>302</v>
      </c>
      <c r="B128" s="3" t="s">
        <v>135</v>
      </c>
      <c r="C128" s="3" t="s">
        <v>132</v>
      </c>
      <c r="D128" s="4" t="str">
        <f aca="false">IF(AND(EXACT(B128,C128),NOT(AND(ISBLANK(B128),ISBLANK(C128)))), "Common", "")</f>
        <v/>
      </c>
    </row>
    <row r="129" customFormat="false" ht="15.75" hidden="false" customHeight="false" outlineLevel="0" collapsed="false">
      <c r="A129" s="3" t="s">
        <v>302</v>
      </c>
      <c r="B129" s="3" t="s">
        <v>135</v>
      </c>
      <c r="C129" s="3" t="s">
        <v>134</v>
      </c>
      <c r="D129" s="4" t="str">
        <f aca="false">IF(AND(EXACT(B129,C129),NOT(AND(ISBLANK(B129),ISBLANK(C129)))), "Common", "")</f>
        <v/>
      </c>
    </row>
    <row r="130" customFormat="false" ht="15.75" hidden="false" customHeight="false" outlineLevel="0" collapsed="false">
      <c r="A130" s="3" t="s">
        <v>303</v>
      </c>
      <c r="B130" s="3" t="s">
        <v>138</v>
      </c>
      <c r="D130" s="4" t="str">
        <f aca="false">IF(AND(EXACT(B130,C130),NOT(AND(ISBLANK(B130),ISBLANK(C130)))), "Common", "")</f>
        <v/>
      </c>
    </row>
    <row r="131" customFormat="false" ht="15.75" hidden="false" customHeight="false" outlineLevel="0" collapsed="false">
      <c r="A131" s="3" t="s">
        <v>302</v>
      </c>
      <c r="B131" s="3" t="s">
        <v>140</v>
      </c>
      <c r="D131" s="4" t="str">
        <f aca="false">IF(AND(EXACT(B131,C131),NOT(AND(ISBLANK(B131),ISBLANK(C131)))), "Common", "")</f>
        <v/>
      </c>
    </row>
    <row r="132" customFormat="false" ht="15.75" hidden="false" customHeight="false" outlineLevel="0" collapsed="false">
      <c r="A132" s="3" t="s">
        <v>304</v>
      </c>
      <c r="B132" s="3" t="s">
        <v>231</v>
      </c>
    </row>
    <row r="133" customFormat="false" ht="15.75" hidden="false" customHeight="false" outlineLevel="0" collapsed="false">
      <c r="A133" s="3" t="s">
        <v>304</v>
      </c>
      <c r="C133" s="3" t="s">
        <v>225</v>
      </c>
    </row>
    <row r="134" customFormat="false" ht="15.75" hidden="false" customHeight="false" outlineLevel="0" collapsed="false">
      <c r="A134" s="4"/>
    </row>
    <row r="135" customFormat="false" ht="15.75" hidden="false" customHeight="false" outlineLevel="0" collapsed="false">
      <c r="A135" s="4"/>
    </row>
    <row r="136" customFormat="false" ht="15.75" hidden="false" customHeight="false" outlineLevel="0" collapsed="false">
      <c r="A136" s="4"/>
      <c r="D136" s="4" t="str">
        <f aca="false">IF(AND(EXACT(B136,C136),NOT(AND(ISBLANK(B136),ISBLANK(C136)))), "Common", "")</f>
        <v/>
      </c>
    </row>
    <row r="137" customFormat="false" ht="15.75" hidden="false" customHeight="false" outlineLevel="0" collapsed="false">
      <c r="A137" s="4"/>
      <c r="D137" s="4" t="str">
        <f aca="false">IF(AND(EXACT(B137,C137),NOT(AND(ISBLANK(B137),ISBLANK(C137)))), "Common", "")</f>
        <v/>
      </c>
    </row>
    <row r="138" customFormat="false" ht="15.75" hidden="false" customHeight="false" outlineLevel="0" collapsed="false">
      <c r="A138" s="4"/>
      <c r="D138" s="4" t="str">
        <f aca="false">IF(AND(EXACT(B138,C138),NOT(AND(ISBLANK(B138),ISBLANK(C138)))), "Common", "")</f>
        <v/>
      </c>
    </row>
    <row r="139" customFormat="false" ht="15.75" hidden="false" customHeight="false" outlineLevel="0" collapsed="false">
      <c r="A139" s="4"/>
      <c r="D139" s="4" t="str">
        <f aca="false">IF(AND(EXACT(B139,C139),NOT(AND(ISBLANK(B139),ISBLANK(C139)))), "Common", "")</f>
        <v/>
      </c>
    </row>
    <row r="140" customFormat="false" ht="15.75" hidden="false" customHeight="false" outlineLevel="0" collapsed="false">
      <c r="A140" s="4"/>
      <c r="D140" s="4" t="str">
        <f aca="false">IF(AND(EXACT(B140,C140),NOT(AND(ISBLANK(B140),ISBLANK(C140)))), "Common", "")</f>
        <v/>
      </c>
    </row>
    <row r="141" customFormat="false" ht="15.75" hidden="false" customHeight="false" outlineLevel="0" collapsed="false">
      <c r="A141" s="6"/>
      <c r="D141" s="7" t="e">
        <f aca="false">IF(AND(EXACT(#REF!,C141),NOT(AND(ISBLANK(#REF!),ISBLANK(C141)))), "Common", "")</f>
        <v>#REF!</v>
      </c>
    </row>
    <row r="142" customFormat="false" ht="15.75" hidden="false" customHeight="false" outlineLevel="0" collapsed="false">
      <c r="A142" s="6" t="s">
        <v>305</v>
      </c>
      <c r="B142" s="3" t="s">
        <v>12</v>
      </c>
      <c r="C142" s="3" t="s">
        <v>11</v>
      </c>
      <c r="D142" s="7" t="e">
        <f aca="false">IF(AND(EXACT(#REF!,#REF!),NOT(AND(ISBLANK(#REF!),ISBLANK(#REF!)))), "Common", "")</f>
        <v>#REF!</v>
      </c>
    </row>
    <row r="143" customFormat="false" ht="15.75" hidden="false" customHeight="false" outlineLevel="0" collapsed="false">
      <c r="A143" s="6" t="s">
        <v>306</v>
      </c>
      <c r="B143" s="3" t="s">
        <v>7</v>
      </c>
      <c r="C143" s="3" t="s">
        <v>7</v>
      </c>
      <c r="D143" s="7" t="e">
        <f aca="false">IF(AND(EXACT(#REF!,#REF!),NOT(AND(ISBLANK(#REF!),ISBLANK(#REF!)))), "Common", "")</f>
        <v>#REF!</v>
      </c>
    </row>
    <row r="144" customFormat="false" ht="15.75" hidden="false" customHeight="false" outlineLevel="0" collapsed="false">
      <c r="A144" s="6" t="s">
        <v>306</v>
      </c>
      <c r="B144" s="3" t="s">
        <v>7</v>
      </c>
      <c r="C144" s="3" t="s">
        <v>11</v>
      </c>
    </row>
    <row r="145" customFormat="false" ht="15.75" hidden="false" customHeight="false" outlineLevel="0" collapsed="false">
      <c r="A145" s="3"/>
      <c r="C145" s="3"/>
    </row>
    <row r="146" customFormat="false" ht="15.75" hidden="false" customHeight="false" outlineLevel="0" collapsed="false">
      <c r="A146" s="3"/>
      <c r="C146" s="3"/>
    </row>
    <row r="147" customFormat="false" ht="15.75" hidden="false" customHeight="false" outlineLevel="0" collapsed="false">
      <c r="A147" s="6" t="s">
        <v>307</v>
      </c>
      <c r="B147" s="3" t="s">
        <v>154</v>
      </c>
      <c r="C147" s="3" t="s">
        <v>154</v>
      </c>
    </row>
    <row r="148" customFormat="false" ht="15.75" hidden="false" customHeight="false" outlineLevel="0" collapsed="false">
      <c r="A148" s="4"/>
    </row>
    <row r="149" customFormat="false" ht="15.75" hidden="false" customHeight="false" outlineLevel="0" collapsed="false">
      <c r="A149" s="6" t="s">
        <v>307</v>
      </c>
      <c r="B149" s="3" t="s">
        <v>160</v>
      </c>
      <c r="C149" s="3" t="s">
        <v>160</v>
      </c>
    </row>
    <row r="150" customFormat="false" ht="15.75" hidden="false" customHeight="false" outlineLevel="0" collapsed="false">
      <c r="A150" s="6" t="s">
        <v>307</v>
      </c>
      <c r="B150" s="3" t="s">
        <v>164</v>
      </c>
      <c r="C150" s="3" t="s">
        <v>164</v>
      </c>
    </row>
    <row r="151" customFormat="false" ht="15.75" hidden="false" customHeight="false" outlineLevel="0" collapsed="false">
      <c r="A151" s="6" t="s">
        <v>307</v>
      </c>
      <c r="B151" s="3" t="s">
        <v>183</v>
      </c>
      <c r="C151" s="3" t="s">
        <v>183</v>
      </c>
    </row>
    <row r="152" customFormat="false" ht="15.75" hidden="false" customHeight="false" outlineLevel="0" collapsed="false">
      <c r="A152" s="6" t="s">
        <v>305</v>
      </c>
      <c r="B152" s="3" t="s">
        <v>77</v>
      </c>
    </row>
    <row r="153" customFormat="false" ht="15.75" hidden="false" customHeight="false" outlineLevel="0" collapsed="false">
      <c r="A153" s="6" t="s">
        <v>307</v>
      </c>
      <c r="C153" s="3" t="s">
        <v>164</v>
      </c>
    </row>
    <row r="154" customFormat="false" ht="15.75" hidden="false" customHeight="false" outlineLevel="0" collapsed="false">
      <c r="A154" s="6" t="s">
        <v>307</v>
      </c>
      <c r="B154" s="3" t="s">
        <v>212</v>
      </c>
      <c r="C154" s="3" t="s">
        <v>154</v>
      </c>
    </row>
    <row r="155" customFormat="false" ht="15.75" hidden="false" customHeight="false" outlineLevel="0" collapsed="false">
      <c r="A155" s="6" t="s">
        <v>307</v>
      </c>
      <c r="B155" s="3" t="s">
        <v>183</v>
      </c>
      <c r="C155" s="3" t="s">
        <v>154</v>
      </c>
    </row>
    <row r="156" customFormat="false" ht="15.75" hidden="false" customHeight="false" outlineLevel="0" collapsed="false">
      <c r="A156" s="3"/>
      <c r="C156" s="3"/>
      <c r="D156" s="4" t="str">
        <f aca="false">IF(AND(EXACT(B156,C156),NOT(AND(ISBLANK(B156),ISBLANK(C156)))), "Common", "")</f>
        <v/>
      </c>
    </row>
    <row r="157" customFormat="false" ht="15.75" hidden="false" customHeight="false" outlineLevel="0" collapsed="false">
      <c r="A157" s="3" t="s">
        <v>308</v>
      </c>
      <c r="B157" s="3" t="s">
        <v>169</v>
      </c>
      <c r="D157" s="4" t="str">
        <f aca="false">IF(AND(EXACT(B157,C157),NOT(AND(ISBLANK(B157),ISBLANK(C157)))), "Common", "")</f>
        <v/>
      </c>
    </row>
    <row r="158" customFormat="false" ht="15.75" hidden="false" customHeight="false" outlineLevel="0" collapsed="false">
      <c r="A158" s="3" t="s">
        <v>309</v>
      </c>
      <c r="B158" s="3" t="s">
        <v>191</v>
      </c>
      <c r="C158" s="3" t="s">
        <v>191</v>
      </c>
      <c r="D158" s="4" t="str">
        <f aca="false">IF(AND(EXACT(B158,C158),NOT(AND(ISBLANK(B158),ISBLANK(C158)))), "Common", "")</f>
        <v>Common</v>
      </c>
    </row>
    <row r="159" customFormat="false" ht="15.75" hidden="false" customHeight="false" outlineLevel="0" collapsed="false">
      <c r="A159" s="3" t="s">
        <v>309</v>
      </c>
      <c r="B159" s="3" t="s">
        <v>192</v>
      </c>
      <c r="C159" s="3" t="s">
        <v>192</v>
      </c>
      <c r="D159" s="4" t="str">
        <f aca="false">IF(AND(EXACT(B159,C159),NOT(AND(ISBLANK(B159),ISBLANK(C159)))), "Common", "")</f>
        <v>Common</v>
      </c>
    </row>
    <row r="160" customFormat="false" ht="15.75" hidden="false" customHeight="false" outlineLevel="0" collapsed="false">
      <c r="A160" s="3" t="s">
        <v>309</v>
      </c>
      <c r="B160" s="3" t="s">
        <v>193</v>
      </c>
      <c r="C160" s="3" t="s">
        <v>193</v>
      </c>
      <c r="D160" s="4" t="str">
        <f aca="false">IF(AND(EXACT(B160,C160),NOT(AND(ISBLANK(B160),ISBLANK(C160)))), "Common", "")</f>
        <v>Common</v>
      </c>
    </row>
    <row r="161" customFormat="false" ht="15.75" hidden="false" customHeight="false" outlineLevel="0" collapsed="false">
      <c r="A161" s="3" t="s">
        <v>310</v>
      </c>
      <c r="B161" s="3" t="s">
        <v>17</v>
      </c>
      <c r="C161" s="3" t="s">
        <v>17</v>
      </c>
      <c r="D161" s="4" t="str">
        <f aca="false">IF(AND(EXACT(B161,C161),NOT(AND(ISBLANK(B161),ISBLANK(C161)))), "Common", "")</f>
        <v>Common</v>
      </c>
    </row>
    <row r="162" customFormat="false" ht="15.75" hidden="false" customHeight="false" outlineLevel="0" collapsed="false">
      <c r="A162" s="3" t="s">
        <v>309</v>
      </c>
      <c r="B162" s="3" t="s">
        <v>58</v>
      </c>
      <c r="C162" s="3" t="s">
        <v>58</v>
      </c>
      <c r="D162" s="4" t="str">
        <f aca="false">IF(AND(EXACT(B162,C162),NOT(AND(ISBLANK(B162),ISBLANK(C162)))), "Common", "")</f>
        <v>Common</v>
      </c>
    </row>
    <row r="163" customFormat="false" ht="15.75" hidden="false" customHeight="false" outlineLevel="0" collapsed="false">
      <c r="A163" s="3" t="s">
        <v>310</v>
      </c>
      <c r="B163" s="3" t="s">
        <v>23</v>
      </c>
      <c r="C163" s="3" t="s">
        <v>23</v>
      </c>
      <c r="D163" s="4" t="str">
        <f aca="false">IF(AND(EXACT(B163,C163),NOT(AND(ISBLANK(B163),ISBLANK(C163)))), "Common", "")</f>
        <v>Common</v>
      </c>
    </row>
    <row r="164" customFormat="false" ht="15.75" hidden="false" customHeight="false" outlineLevel="0" collapsed="false">
      <c r="A164" s="3" t="s">
        <v>310</v>
      </c>
      <c r="B164" s="3" t="s">
        <v>29</v>
      </c>
      <c r="C164" s="3" t="s">
        <v>29</v>
      </c>
      <c r="D164" s="4" t="str">
        <f aca="false">IF(AND(EXACT(B164,C164),NOT(AND(ISBLANK(B164),ISBLANK(C164)))), "Common", "")</f>
        <v>Common</v>
      </c>
    </row>
    <row r="165" customFormat="false" ht="15.75" hidden="false" customHeight="false" outlineLevel="0" collapsed="false">
      <c r="A165" s="3" t="s">
        <v>310</v>
      </c>
      <c r="B165" s="3" t="s">
        <v>30</v>
      </c>
      <c r="C165" s="3" t="s">
        <v>30</v>
      </c>
      <c r="D165" s="4" t="str">
        <f aca="false">IF(AND(EXACT(B165,C165),NOT(AND(ISBLANK(B165),ISBLANK(C165)))), "Common", "")</f>
        <v>Common</v>
      </c>
    </row>
    <row r="166" customFormat="false" ht="15.75" hidden="false" customHeight="false" outlineLevel="0" collapsed="false">
      <c r="A166" s="3" t="s">
        <v>310</v>
      </c>
      <c r="B166" s="3"/>
      <c r="C166" s="3" t="s">
        <v>16</v>
      </c>
    </row>
    <row r="167" customFormat="false" ht="15.75" hidden="false" customHeight="false" outlineLevel="0" collapsed="false">
      <c r="A167" s="3" t="s">
        <v>310</v>
      </c>
      <c r="B167" s="3"/>
      <c r="C167" s="3" t="s">
        <v>194</v>
      </c>
    </row>
    <row r="168" customFormat="false" ht="15.75" hidden="false" customHeight="false" outlineLevel="0" collapsed="false">
      <c r="A168" s="3" t="s">
        <v>309</v>
      </c>
      <c r="B168" s="3" t="s">
        <v>74</v>
      </c>
      <c r="C168" s="3" t="s">
        <v>74</v>
      </c>
      <c r="D168" s="4" t="str">
        <f aca="false">IF(AND(EXACT(B168,C168),NOT(AND(ISBLANK(B168),ISBLANK(C168)))), "Common", "")</f>
        <v>Common</v>
      </c>
    </row>
    <row r="169" customFormat="false" ht="15.75" hidden="false" customHeight="false" outlineLevel="0" collapsed="false">
      <c r="A169" s="3" t="s">
        <v>309</v>
      </c>
      <c r="B169" s="3" t="s">
        <v>263</v>
      </c>
      <c r="C169" s="3" t="s">
        <v>263</v>
      </c>
      <c r="D169" s="4" t="str">
        <f aca="false">IF(AND(EXACT(B169,C169),NOT(AND(ISBLANK(B169),ISBLANK(C169)))), "Common", "")</f>
        <v>Common</v>
      </c>
    </row>
    <row r="170" customFormat="false" ht="15.75" hidden="false" customHeight="false" outlineLevel="0" collapsed="false">
      <c r="A170" s="3" t="s">
        <v>309</v>
      </c>
      <c r="B170" s="3" t="s">
        <v>267</v>
      </c>
      <c r="C170" s="3" t="s">
        <v>267</v>
      </c>
      <c r="D170" s="4" t="str">
        <f aca="false">IF(AND(EXACT(B170,C170),NOT(AND(ISBLANK(B170),ISBLANK(C170)))), "Common", "")</f>
        <v>Common</v>
      </c>
    </row>
    <row r="171" customFormat="false" ht="15.75" hidden="false" customHeight="false" outlineLevel="0" collapsed="false">
      <c r="A171" s="3" t="s">
        <v>309</v>
      </c>
      <c r="B171" s="3" t="s">
        <v>265</v>
      </c>
      <c r="C171" s="3" t="s">
        <v>265</v>
      </c>
      <c r="D171" s="4" t="str">
        <f aca="false">IF(AND(EXACT(B171,C171),NOT(AND(ISBLANK(B171),ISBLANK(C171)))), "Common", "")</f>
        <v>Common</v>
      </c>
    </row>
    <row r="172" customFormat="false" ht="15.75" hidden="false" customHeight="false" outlineLevel="0" collapsed="false">
      <c r="A172" s="3" t="s">
        <v>309</v>
      </c>
      <c r="B172" s="3"/>
      <c r="C172" s="3" t="s">
        <v>60</v>
      </c>
    </row>
    <row r="173" customFormat="false" ht="15.75" hidden="false" customHeight="false" outlineLevel="0" collapsed="false">
      <c r="A173" s="3" t="s">
        <v>309</v>
      </c>
      <c r="B173" s="3"/>
      <c r="C173" s="3" t="s">
        <v>186</v>
      </c>
    </row>
    <row r="174" customFormat="false" ht="15.75" hidden="false" customHeight="false" outlineLevel="0" collapsed="false">
      <c r="A174" s="3" t="s">
        <v>309</v>
      </c>
      <c r="B174" s="3" t="s">
        <v>221</v>
      </c>
      <c r="D174" s="4" t="str">
        <f aca="false">IF(AND(EXACT(B174,C174),NOT(AND(ISBLANK(B174),ISBLANK(C174)))), "Common", "")</f>
        <v/>
      </c>
    </row>
    <row r="175" customFormat="false" ht="15.75" hidden="false" customHeight="false" outlineLevel="0" collapsed="false">
      <c r="A175" s="3" t="s">
        <v>309</v>
      </c>
      <c r="B175" s="3" t="s">
        <v>270</v>
      </c>
      <c r="C175" s="3" t="s">
        <v>270</v>
      </c>
      <c r="D175" s="4" t="str">
        <f aca="false">IF(AND(EXACT(B175,C175),NOT(AND(ISBLANK(B175),ISBLANK(C175)))), "Common", "")</f>
        <v>Common</v>
      </c>
    </row>
    <row r="176" customFormat="false" ht="15.75" hidden="false" customHeight="false" outlineLevel="0" collapsed="false">
      <c r="A176" s="3" t="s">
        <v>309</v>
      </c>
      <c r="B176" s="3" t="s">
        <v>172</v>
      </c>
      <c r="C176" s="3" t="s">
        <v>153</v>
      </c>
      <c r="D176" s="4" t="str">
        <f aca="false">IF(AND(EXACT(B176,C176),NOT(AND(ISBLANK(B176),ISBLANK(C176)))), "Common", "")</f>
        <v/>
      </c>
    </row>
    <row r="177" customFormat="false" ht="15.75" hidden="false" customHeight="false" outlineLevel="0" collapsed="false">
      <c r="A177" s="3" t="s">
        <v>309</v>
      </c>
      <c r="B177" s="3" t="s">
        <v>244</v>
      </c>
      <c r="D177" s="4" t="str">
        <f aca="false">IF(AND(EXACT(B177,C177),NOT(AND(ISBLANK(B177),ISBLANK(C177)))), "Common", "")</f>
        <v/>
      </c>
    </row>
    <row r="178" customFormat="false" ht="15.75" hidden="false" customHeight="false" outlineLevel="0" collapsed="false">
      <c r="A178" s="3" t="s">
        <v>309</v>
      </c>
      <c r="B178" s="3" t="s">
        <v>61</v>
      </c>
      <c r="C178" s="3" t="s">
        <v>272</v>
      </c>
      <c r="D178" s="4" t="str">
        <f aca="false">IF(AND(EXACT(B178,C178),NOT(AND(ISBLANK(B178),ISBLANK(C178)))), "Common", "")</f>
        <v/>
      </c>
    </row>
    <row r="179" customFormat="false" ht="15.75" hidden="false" customHeight="false" outlineLevel="0" collapsed="false">
      <c r="A179" s="3" t="s">
        <v>309</v>
      </c>
      <c r="B179" s="3" t="s">
        <v>72</v>
      </c>
      <c r="D179" s="4" t="str">
        <f aca="false">IF(AND(EXACT(B179,C179),NOT(AND(ISBLANK(B179),ISBLANK(C179)))), "Common", "")</f>
        <v/>
      </c>
    </row>
    <row r="180" customFormat="false" ht="15.75" hidden="false" customHeight="false" outlineLevel="0" collapsed="false">
      <c r="A180" s="3" t="s">
        <v>310</v>
      </c>
      <c r="B180" s="3" t="s">
        <v>27</v>
      </c>
      <c r="C180" s="3" t="s">
        <v>28</v>
      </c>
    </row>
    <row r="181" customFormat="false" ht="15.75" hidden="false" customHeight="false" outlineLevel="0" collapsed="false">
      <c r="A181" s="3" t="s">
        <v>309</v>
      </c>
      <c r="B181" s="3"/>
      <c r="C181" s="3" t="s">
        <v>230</v>
      </c>
    </row>
    <row r="182" customFormat="false" ht="15.75" hidden="false" customHeight="false" outlineLevel="0" collapsed="false">
      <c r="A182" s="3" t="s">
        <v>308</v>
      </c>
      <c r="B182" s="3" t="s">
        <v>38</v>
      </c>
      <c r="C182" s="3"/>
    </row>
    <row r="183" customFormat="false" ht="15.75" hidden="false" customHeight="false" outlineLevel="0" collapsed="false">
      <c r="A183" s="3" t="s">
        <v>309</v>
      </c>
      <c r="B183" s="3" t="s">
        <v>174</v>
      </c>
      <c r="C183" s="3"/>
    </row>
    <row r="184" customFormat="false" ht="15.75" hidden="false" customHeight="false" outlineLevel="0" collapsed="false">
      <c r="A184" s="3" t="s">
        <v>311</v>
      </c>
      <c r="B184" s="3" t="s">
        <v>24</v>
      </c>
      <c r="C184" s="3" t="s">
        <v>24</v>
      </c>
      <c r="D184" s="4" t="str">
        <f aca="false">IF(AND(EXACT(B184,C184),NOT(AND(ISBLANK(B184),ISBLANK(C184)))), "Common", "")</f>
        <v>Common</v>
      </c>
    </row>
    <row r="185" customFormat="false" ht="15.75" hidden="false" customHeight="false" outlineLevel="0" collapsed="false">
      <c r="A185" s="3" t="s">
        <v>312</v>
      </c>
      <c r="B185" s="3" t="s">
        <v>271</v>
      </c>
      <c r="C185" s="3" t="s">
        <v>269</v>
      </c>
      <c r="D185" s="4" t="str">
        <f aca="false">IF(AND(EXACT(B185,C185),NOT(AND(ISBLANK(B185),ISBLANK(C185)))), "Common", "")</f>
        <v/>
      </c>
    </row>
    <row r="186" customFormat="false" ht="15.75" hidden="false" customHeight="false" outlineLevel="0" collapsed="false">
      <c r="A186" s="3" t="s">
        <v>313</v>
      </c>
      <c r="B186" s="3" t="s">
        <v>34</v>
      </c>
      <c r="C186" s="3" t="s">
        <v>34</v>
      </c>
      <c r="D186" s="4" t="str">
        <f aca="false">IF(AND(EXACT(B186,C186),NOT(AND(ISBLANK(B186),ISBLANK(C186)))), "Common", "")</f>
        <v>Common</v>
      </c>
    </row>
    <row r="187" customFormat="false" ht="15.75" hidden="false" customHeight="false" outlineLevel="0" collapsed="false">
      <c r="A187" s="3" t="s">
        <v>313</v>
      </c>
      <c r="B187" s="3" t="s">
        <v>96</v>
      </c>
      <c r="C187" s="3" t="s">
        <v>96</v>
      </c>
      <c r="D187" s="4" t="str">
        <f aca="false">IF(AND(EXACT(B187,C187),NOT(AND(ISBLANK(B187),ISBLANK(C187)))), "Common", "")</f>
        <v>Common</v>
      </c>
    </row>
    <row r="188" customFormat="false" ht="15.75" hidden="false" customHeight="false" outlineLevel="0" collapsed="false">
      <c r="A188" s="3" t="s">
        <v>313</v>
      </c>
      <c r="B188" s="3" t="s">
        <v>210</v>
      </c>
      <c r="C188" s="3" t="s">
        <v>210</v>
      </c>
      <c r="D188" s="4" t="str">
        <f aca="false">IF(AND(EXACT(B188,C188),NOT(AND(ISBLANK(B188),ISBLANK(C188)))), "Common", "")</f>
        <v>Common</v>
      </c>
    </row>
    <row r="189" customFormat="false" ht="15.75" hidden="false" customHeight="false" outlineLevel="0" collapsed="false">
      <c r="A189" s="3" t="s">
        <v>313</v>
      </c>
      <c r="B189" s="3"/>
      <c r="C189" s="3" t="s">
        <v>146</v>
      </c>
    </row>
    <row r="190" customFormat="false" ht="15.75" hidden="false" customHeight="false" outlineLevel="0" collapsed="false">
      <c r="A190" s="3" t="s">
        <v>314</v>
      </c>
      <c r="B190" s="3" t="s">
        <v>274</v>
      </c>
      <c r="C190" s="3"/>
      <c r="D190" s="4" t="str">
        <f aca="false">IF(AND(EXACT(B190,C190),NOT(AND(ISBLANK(B190),ISBLANK(C190)))), "Common", "")</f>
        <v/>
      </c>
    </row>
    <row r="191" customFormat="false" ht="15.75" hidden="false" customHeight="false" outlineLevel="0" collapsed="false">
      <c r="A191" s="3" t="s">
        <v>314</v>
      </c>
      <c r="B191" s="3"/>
      <c r="C191" s="3" t="s">
        <v>211</v>
      </c>
    </row>
    <row r="192" customFormat="false" ht="15.75" hidden="false" customHeight="false" outlineLevel="0" collapsed="false">
      <c r="A192" s="3" t="s">
        <v>313</v>
      </c>
      <c r="B192" s="3"/>
      <c r="C192" s="3" t="s">
        <v>213</v>
      </c>
    </row>
    <row r="193" customFormat="false" ht="15.75" hidden="false" customHeight="false" outlineLevel="0" collapsed="false">
      <c r="A193" s="3" t="s">
        <v>313</v>
      </c>
      <c r="B193" s="3"/>
      <c r="C193" s="3" t="s">
        <v>215</v>
      </c>
    </row>
    <row r="194" customFormat="false" ht="15.75" hidden="false" customHeight="false" outlineLevel="0" collapsed="false">
      <c r="A194" s="3" t="s">
        <v>315</v>
      </c>
      <c r="B194" s="3" t="s">
        <v>79</v>
      </c>
      <c r="C194" s="3"/>
      <c r="D194" s="4" t="str">
        <f aca="false">IF(AND(EXACT(B194,C194),NOT(AND(ISBLANK(B194),ISBLANK(C194)))), "Common", "")</f>
        <v/>
      </c>
    </row>
    <row r="195" customFormat="false" ht="15.75" hidden="false" customHeight="false" outlineLevel="0" collapsed="false">
      <c r="A195" s="3" t="s">
        <v>316</v>
      </c>
      <c r="B195" s="3" t="s">
        <v>82</v>
      </c>
      <c r="C195" s="3"/>
    </row>
    <row r="196" customFormat="false" ht="15.75" hidden="false" customHeight="false" outlineLevel="0" collapsed="false">
      <c r="A196" s="3" t="s">
        <v>316</v>
      </c>
      <c r="B196" s="3" t="s">
        <v>71</v>
      </c>
      <c r="C196" s="3" t="s">
        <v>71</v>
      </c>
      <c r="D196" s="4" t="str">
        <f aca="false">IF(AND(EXACT(B196,C196),NOT(AND(ISBLANK(B196),ISBLANK(C196)))), "Common", "")</f>
        <v>Common</v>
      </c>
    </row>
    <row r="197" customFormat="false" ht="15.75" hidden="false" customHeight="false" outlineLevel="0" collapsed="false">
      <c r="A197" s="3" t="s">
        <v>316</v>
      </c>
      <c r="B197" s="3" t="s">
        <v>73</v>
      </c>
      <c r="C197" s="3" t="s">
        <v>73</v>
      </c>
      <c r="D197" s="4" t="str">
        <f aca="false">IF(AND(EXACT(B197,C197),NOT(AND(ISBLANK(B197),ISBLANK(C197)))), "Common", "")</f>
        <v>Common</v>
      </c>
    </row>
    <row r="198" customFormat="false" ht="15.75" hidden="false" customHeight="false" outlineLevel="0" collapsed="false">
      <c r="A198" s="3" t="s">
        <v>315</v>
      </c>
      <c r="B198" s="3" t="s">
        <v>232</v>
      </c>
      <c r="C198" s="3" t="s">
        <v>232</v>
      </c>
      <c r="D198" s="4" t="str">
        <f aca="false">IF(AND(EXACT(B198,C198),NOT(AND(ISBLANK(B198),ISBLANK(C198)))), "Common", "")</f>
        <v>Common</v>
      </c>
    </row>
    <row r="199" customFormat="false" ht="15.75" hidden="false" customHeight="false" outlineLevel="0" collapsed="false">
      <c r="A199" s="3" t="s">
        <v>315</v>
      </c>
      <c r="B199" s="3" t="s">
        <v>234</v>
      </c>
      <c r="C199" s="3" t="s">
        <v>234</v>
      </c>
      <c r="D199" s="4" t="str">
        <f aca="false">IF(AND(EXACT(B199,C199),NOT(AND(ISBLANK(B199),ISBLANK(C199)))), "Common", "")</f>
        <v>Common</v>
      </c>
    </row>
    <row r="200" customFormat="false" ht="15.75" hidden="false" customHeight="false" outlineLevel="0" collapsed="false">
      <c r="A200" s="3" t="s">
        <v>315</v>
      </c>
      <c r="B200" s="3" t="s">
        <v>236</v>
      </c>
      <c r="C200" s="3" t="s">
        <v>236</v>
      </c>
      <c r="D200" s="4" t="str">
        <f aca="false">IF(AND(EXACT(B200,C200),NOT(AND(ISBLANK(B200),ISBLANK(C200)))), "Common", "")</f>
        <v>Common</v>
      </c>
    </row>
    <row r="201" customFormat="false" ht="15.75" hidden="false" customHeight="false" outlineLevel="0" collapsed="false">
      <c r="A201" s="3" t="s">
        <v>315</v>
      </c>
      <c r="B201" s="3" t="s">
        <v>238</v>
      </c>
      <c r="C201" s="3" t="s">
        <v>238</v>
      </c>
      <c r="D201" s="4" t="str">
        <f aca="false">IF(AND(EXACT(B201,C201),NOT(AND(ISBLANK(B201),ISBLANK(C201)))), "Common", "")</f>
        <v>Common</v>
      </c>
    </row>
    <row r="202" customFormat="false" ht="15.75" hidden="false" customHeight="false" outlineLevel="0" collapsed="false">
      <c r="A202" s="3" t="s">
        <v>316</v>
      </c>
      <c r="B202" s="3" t="s">
        <v>245</v>
      </c>
      <c r="C202" s="3" t="s">
        <v>245</v>
      </c>
      <c r="D202" s="4" t="str">
        <f aca="false">IF(AND(EXACT(B202,C202),NOT(AND(ISBLANK(B202),ISBLANK(C202)))), "Common", "")</f>
        <v>Common</v>
      </c>
    </row>
    <row r="203" customFormat="false" ht="15.75" hidden="false" customHeight="false" outlineLevel="0" collapsed="false">
      <c r="A203" s="3" t="s">
        <v>315</v>
      </c>
      <c r="B203" s="3" t="s">
        <v>247</v>
      </c>
      <c r="C203" s="3" t="s">
        <v>247</v>
      </c>
      <c r="D203" s="4" t="str">
        <f aca="false">IF(AND(EXACT(B203,C203),NOT(AND(ISBLANK(B203),ISBLANK(C203)))), "Common", "")</f>
        <v>Common</v>
      </c>
    </row>
    <row r="204" customFormat="false" ht="15.75" hidden="false" customHeight="false" outlineLevel="0" collapsed="false">
      <c r="A204" s="3" t="s">
        <v>315</v>
      </c>
      <c r="B204" s="3" t="s">
        <v>255</v>
      </c>
      <c r="C204" s="3"/>
      <c r="D204" s="4" t="str">
        <f aca="false">IF(AND(EXACT(B204,C204),NOT(AND(ISBLANK(B204),ISBLANK(C204)))), "Common", "")</f>
        <v/>
      </c>
    </row>
    <row r="205" customFormat="false" ht="15.75" hidden="false" customHeight="false" outlineLevel="0" collapsed="false">
      <c r="A205" s="3" t="s">
        <v>316</v>
      </c>
      <c r="B205" s="3"/>
      <c r="C205" s="3" t="s">
        <v>240</v>
      </c>
    </row>
    <row r="206" customFormat="false" ht="15.75" hidden="false" customHeight="false" outlineLevel="0" collapsed="false">
      <c r="A206" s="3" t="s">
        <v>316</v>
      </c>
      <c r="B206" s="3"/>
      <c r="C206" s="3" t="s">
        <v>242</v>
      </c>
    </row>
    <row r="207" customFormat="false" ht="15.75" hidden="false" customHeight="false" outlineLevel="0" collapsed="false">
      <c r="A207" s="3" t="s">
        <v>316</v>
      </c>
      <c r="B207" s="3"/>
      <c r="C207" s="3" t="s">
        <v>243</v>
      </c>
    </row>
    <row r="208" customFormat="false" ht="15.75" hidden="false" customHeight="false" outlineLevel="0" collapsed="false">
      <c r="A208" s="3" t="s">
        <v>315</v>
      </c>
      <c r="B208" s="3"/>
      <c r="C208" s="3" t="s">
        <v>248</v>
      </c>
    </row>
    <row r="209" customFormat="false" ht="15.75" hidden="false" customHeight="false" outlineLevel="0" collapsed="false">
      <c r="A209" s="3" t="s">
        <v>315</v>
      </c>
      <c r="B209" s="3"/>
      <c r="C209" s="3" t="s">
        <v>249</v>
      </c>
    </row>
    <row r="210" customFormat="false" ht="15.75" hidden="false" customHeight="false" outlineLevel="0" collapsed="false">
      <c r="A210" s="3" t="s">
        <v>316</v>
      </c>
      <c r="B210" s="3"/>
      <c r="C210" s="3" t="s">
        <v>250</v>
      </c>
    </row>
    <row r="211" customFormat="false" ht="15.75" hidden="false" customHeight="false" outlineLevel="0" collapsed="false">
      <c r="A211" s="3" t="s">
        <v>316</v>
      </c>
      <c r="B211" s="3"/>
      <c r="C211" s="3" t="s">
        <v>252</v>
      </c>
    </row>
    <row r="212" customFormat="false" ht="15.75" hidden="false" customHeight="false" outlineLevel="0" collapsed="false">
      <c r="A212" s="3" t="s">
        <v>316</v>
      </c>
      <c r="B212" s="3"/>
      <c r="C212" s="3" t="s">
        <v>73</v>
      </c>
      <c r="D212" s="4" t="str">
        <f aca="false">IF(AND(EXACT(B212,C212),NOT(AND(ISBLANK(B212),ISBLANK(C212)))), "Common", "")</f>
        <v/>
      </c>
    </row>
    <row r="213" customFormat="false" ht="15.75" hidden="false" customHeight="false" outlineLevel="0" collapsed="false">
      <c r="A213" s="3" t="s">
        <v>315</v>
      </c>
      <c r="B213" s="3" t="s">
        <v>251</v>
      </c>
      <c r="C213" s="3"/>
      <c r="D213" s="4" t="str">
        <f aca="false">IF(AND(EXACT(B213,C213),NOT(AND(ISBLANK(B213),ISBLANK(C213)))), "Common", "")</f>
        <v/>
      </c>
    </row>
    <row r="214" customFormat="false" ht="15.75" hidden="false" customHeight="false" outlineLevel="0" collapsed="false">
      <c r="A214" s="3" t="s">
        <v>316</v>
      </c>
      <c r="B214" s="3" t="s">
        <v>151</v>
      </c>
      <c r="C214" s="3"/>
    </row>
    <row r="215" customFormat="false" ht="15.75" hidden="false" customHeight="false" outlineLevel="0" collapsed="false">
      <c r="A215" s="3" t="s">
        <v>316</v>
      </c>
      <c r="B215" s="3" t="s">
        <v>176</v>
      </c>
      <c r="C215" s="3" t="s">
        <v>99</v>
      </c>
      <c r="D215" s="4" t="str">
        <f aca="false">IF(AND(EXACT(B215,C215),NOT(AND(ISBLANK(B215),ISBLANK(C215)))), "Common", "")</f>
        <v/>
      </c>
    </row>
    <row r="216" customFormat="false" ht="15.75" hidden="false" customHeight="false" outlineLevel="0" collapsed="false">
      <c r="A216" s="3" t="s">
        <v>315</v>
      </c>
      <c r="B216" s="3"/>
      <c r="C216" s="3" t="s">
        <v>53</v>
      </c>
    </row>
    <row r="217" customFormat="false" ht="15.75" hidden="false" customHeight="false" outlineLevel="0" collapsed="false">
      <c r="A217" s="3" t="s">
        <v>317</v>
      </c>
      <c r="B217" s="3" t="s">
        <v>15</v>
      </c>
      <c r="C217" s="3" t="s">
        <v>22</v>
      </c>
      <c r="D217" s="4" t="str">
        <f aca="false">IF(AND(EXACT(B217,C217),NOT(AND(ISBLANK(B217),ISBLANK(C217)))), "Common", "")</f>
        <v/>
      </c>
    </row>
    <row r="218" customFormat="false" ht="15.75" hidden="false" customHeight="false" outlineLevel="0" collapsed="false">
      <c r="A218" s="3" t="s">
        <v>315</v>
      </c>
      <c r="B218" s="3" t="s">
        <v>214</v>
      </c>
      <c r="C218" s="3"/>
    </row>
    <row r="219" customFormat="false" ht="15.75" hidden="false" customHeight="false" outlineLevel="0" collapsed="false">
      <c r="A219" s="3" t="s">
        <v>315</v>
      </c>
      <c r="B219" s="3"/>
      <c r="C219" s="3" t="s">
        <v>55</v>
      </c>
      <c r="D219" s="4" t="str">
        <f aca="false">IF(AND(EXACT(B219,C219),NOT(AND(ISBLANK(B219),ISBLANK(C219)))), "Common", "")</f>
        <v/>
      </c>
    </row>
    <row r="220" customFormat="false" ht="15.75" hidden="false" customHeight="false" outlineLevel="0" collapsed="false">
      <c r="A220" s="3" t="s">
        <v>315</v>
      </c>
      <c r="B220" s="3"/>
      <c r="C220" s="3" t="s">
        <v>56</v>
      </c>
      <c r="D220" s="4" t="str">
        <f aca="false">IF(AND(EXACT(B220,C220),NOT(AND(ISBLANK(B220),ISBLANK(C220)))), "Common", "")</f>
        <v/>
      </c>
    </row>
    <row r="221" customFormat="false" ht="15.75" hidden="false" customHeight="false" outlineLevel="0" collapsed="false">
      <c r="A221" s="3" t="s">
        <v>318</v>
      </c>
      <c r="B221" s="3" t="s">
        <v>64</v>
      </c>
      <c r="C221" s="3" t="s">
        <v>64</v>
      </c>
      <c r="D221" s="4" t="str">
        <f aca="false">IF(AND(EXACT(B221,C221),NOT(AND(ISBLANK(B221),ISBLANK(C221)))), "Common", "")</f>
        <v>Common</v>
      </c>
    </row>
    <row r="222" customFormat="false" ht="15.75" hidden="false" customHeight="false" outlineLevel="0" collapsed="false">
      <c r="A222" s="3" t="s">
        <v>318</v>
      </c>
      <c r="B222" s="3" t="s">
        <v>78</v>
      </c>
      <c r="C222" s="3" t="s">
        <v>78</v>
      </c>
      <c r="D222" s="4" t="str">
        <f aca="false">IF(AND(EXACT(B222,C222),NOT(AND(ISBLANK(B222),ISBLANK(C222)))), "Common", "")</f>
        <v>Common</v>
      </c>
    </row>
    <row r="223" customFormat="false" ht="15.75" hidden="false" customHeight="false" outlineLevel="0" collapsed="false">
      <c r="A223" s="3" t="s">
        <v>318</v>
      </c>
      <c r="B223" s="3" t="s">
        <v>80</v>
      </c>
      <c r="C223" s="3" t="s">
        <v>80</v>
      </c>
      <c r="D223" s="4" t="str">
        <f aca="false">IF(AND(EXACT(B223,C223),NOT(AND(ISBLANK(B223),ISBLANK(C223)))), "Common", "")</f>
        <v>Common</v>
      </c>
    </row>
    <row r="224" customFormat="false" ht="15.75" hidden="false" customHeight="false" outlineLevel="0" collapsed="false">
      <c r="A224" s="3" t="s">
        <v>318</v>
      </c>
      <c r="B224" s="3" t="s">
        <v>81</v>
      </c>
      <c r="C224" s="3" t="s">
        <v>81</v>
      </c>
      <c r="D224" s="4" t="str">
        <f aca="false">IF(AND(EXACT(B224,C224),NOT(AND(ISBLANK(B224),ISBLANK(C224)))), "Common", "")</f>
        <v>Common</v>
      </c>
    </row>
    <row r="225" customFormat="false" ht="15.75" hidden="false" customHeight="false" outlineLevel="0" collapsed="false">
      <c r="A225" s="3" t="s">
        <v>318</v>
      </c>
      <c r="B225" s="3" t="s">
        <v>83</v>
      </c>
      <c r="C225" s="3" t="s">
        <v>83</v>
      </c>
      <c r="D225" s="4" t="str">
        <f aca="false">IF(AND(EXACT(B225,C225),NOT(AND(ISBLANK(B225),ISBLANK(C225)))), "Common", "")</f>
        <v>Common</v>
      </c>
    </row>
    <row r="226" customFormat="false" ht="15.75" hidden="false" customHeight="false" outlineLevel="0" collapsed="false">
      <c r="A226" s="3" t="s">
        <v>318</v>
      </c>
      <c r="B226" s="3" t="s">
        <v>84</v>
      </c>
      <c r="C226" s="3" t="s">
        <v>84</v>
      </c>
      <c r="D226" s="4" t="str">
        <f aca="false">IF(AND(EXACT(B226,C226),NOT(AND(ISBLANK(B226),ISBLANK(C226)))), "Common", "")</f>
        <v>Common</v>
      </c>
    </row>
    <row r="227" customFormat="false" ht="15.75" hidden="false" customHeight="false" outlineLevel="0" collapsed="false">
      <c r="A227" s="3" t="s">
        <v>318</v>
      </c>
      <c r="B227" s="3" t="s">
        <v>81</v>
      </c>
      <c r="C227" s="3" t="s">
        <v>67</v>
      </c>
      <c r="D227" s="4" t="str">
        <f aca="false">IF(AND(EXACT(B227,C227),NOT(AND(ISBLANK(B227),ISBLANK(C227)))), "Common", "")</f>
        <v/>
      </c>
    </row>
    <row r="228" customFormat="false" ht="15.75" hidden="false" customHeight="false" outlineLevel="0" collapsed="false">
      <c r="A228" s="3" t="s">
        <v>318</v>
      </c>
      <c r="B228" s="3" t="s">
        <v>81</v>
      </c>
      <c r="C228" s="3" t="s">
        <v>86</v>
      </c>
      <c r="D228" s="4" t="str">
        <f aca="false">IF(AND(EXACT(B228,C228),NOT(AND(ISBLANK(B228),ISBLANK(C228)))), "Common", "")</f>
        <v/>
      </c>
    </row>
    <row r="229" customFormat="false" ht="15.75" hidden="false" customHeight="false" outlineLevel="0" collapsed="false">
      <c r="A229" s="3" t="s">
        <v>318</v>
      </c>
      <c r="B229" s="3" t="s">
        <v>85</v>
      </c>
      <c r="C229" s="3" t="s">
        <v>83</v>
      </c>
      <c r="D229" s="4" t="str">
        <f aca="false">IF(AND(EXACT(B229,C229),NOT(AND(ISBLANK(B229),ISBLANK(C229)))), "Common", "")</f>
        <v/>
      </c>
    </row>
    <row r="230" customFormat="false" ht="15.75" hidden="false" customHeight="false" outlineLevel="0" collapsed="false">
      <c r="A230" s="3" t="s">
        <v>318</v>
      </c>
      <c r="B230" s="3" t="s">
        <v>95</v>
      </c>
      <c r="D230" s="4" t="str">
        <f aca="false">IF(AND(EXACT(B230,C261),NOT(AND(ISBLANK(B230),ISBLANK(C261)))), "Common", "")</f>
        <v/>
      </c>
    </row>
    <row r="231" customFormat="false" ht="15.75" hidden="false" customHeight="false" outlineLevel="0" collapsed="false">
      <c r="A231" s="3" t="s">
        <v>319</v>
      </c>
      <c r="B231" s="3" t="s">
        <v>268</v>
      </c>
      <c r="D231" s="4" t="str">
        <f aca="false">IF(AND(EXACT(B231,C231),NOT(AND(ISBLANK(B231),ISBLANK(C231)))), "Common", "")</f>
        <v/>
      </c>
    </row>
    <row r="232" customFormat="false" ht="15.75" hidden="false" customHeight="false" outlineLevel="0" collapsed="false">
      <c r="A232" s="3" t="s">
        <v>318</v>
      </c>
      <c r="B232" s="3" t="s">
        <v>266</v>
      </c>
      <c r="C232" s="3"/>
      <c r="D232" s="4" t="str">
        <f aca="false">IF(AND(EXACT(B232,C232),NOT(AND(ISBLANK(B232),ISBLANK(C232)))), "Common", "")</f>
        <v/>
      </c>
    </row>
    <row r="233" customFormat="false" ht="15.75" hidden="false" customHeight="false" outlineLevel="0" collapsed="false">
      <c r="A233" s="3" t="s">
        <v>318</v>
      </c>
      <c r="B233" s="3"/>
      <c r="C233" s="3" t="s">
        <v>89</v>
      </c>
    </row>
    <row r="234" customFormat="false" ht="15.75" hidden="false" customHeight="false" outlineLevel="0" collapsed="false">
      <c r="A234" s="3" t="s">
        <v>318</v>
      </c>
      <c r="B234" s="3" t="s">
        <v>105</v>
      </c>
      <c r="C234" s="3"/>
    </row>
    <row r="235" customFormat="false" ht="15.75" hidden="false" customHeight="false" outlineLevel="0" collapsed="false">
      <c r="A235" s="3" t="s">
        <v>306</v>
      </c>
      <c r="B235" s="3" t="s">
        <v>88</v>
      </c>
      <c r="C235" s="3" t="s">
        <v>88</v>
      </c>
      <c r="D235" s="4" t="str">
        <f aca="false">IF(AND(EXACT(B235,C235),NOT(AND(ISBLANK(B235),ISBLANK(C235)))), "Common", "")</f>
        <v>Common</v>
      </c>
    </row>
    <row r="236" customFormat="false" ht="15.75" hidden="false" customHeight="false" outlineLevel="0" collapsed="false">
      <c r="A236" s="4"/>
    </row>
    <row r="237" customFormat="false" ht="15.75" hidden="false" customHeight="false" outlineLevel="0" collapsed="false">
      <c r="A237" s="3" t="s">
        <v>307</v>
      </c>
      <c r="C237" s="3" t="s">
        <v>20</v>
      </c>
      <c r="D237" s="4" t="str">
        <f aca="false">IF(AND(EXACT(B260,C237),NOT(AND(ISBLANK(B260),ISBLANK(C237)))), "Common", "")</f>
        <v/>
      </c>
    </row>
    <row r="238" customFormat="false" ht="15.75" hidden="false" customHeight="false" outlineLevel="0" collapsed="false">
      <c r="A238" s="3" t="s">
        <v>305</v>
      </c>
      <c r="B238" s="3" t="s">
        <v>36</v>
      </c>
      <c r="C238" s="3"/>
      <c r="D238" s="4" t="str">
        <f aca="false">IF(AND(EXACT(B238,C238),NOT(AND(ISBLANK(B238),ISBLANK(C238)))), "Common", "")</f>
        <v/>
      </c>
    </row>
    <row r="239" customFormat="false" ht="15.75" hidden="false" customHeight="false" outlineLevel="0" collapsed="false">
      <c r="A239" s="4"/>
      <c r="B239" s="3"/>
    </row>
    <row r="240" customFormat="false" ht="15.75" hidden="false" customHeight="false" outlineLevel="0" collapsed="false">
      <c r="A240" s="4"/>
      <c r="B240" s="3"/>
    </row>
    <row r="241" customFormat="false" ht="15.75" hidden="false" customHeight="false" outlineLevel="0" collapsed="false">
      <c r="A241" s="3" t="s">
        <v>320</v>
      </c>
      <c r="B241" s="3" t="s">
        <v>155</v>
      </c>
    </row>
    <row r="242" customFormat="false" ht="15.75" hidden="false" customHeight="false" outlineLevel="0" collapsed="false">
      <c r="A242" s="3" t="s">
        <v>320</v>
      </c>
      <c r="B242" s="3" t="s">
        <v>141</v>
      </c>
      <c r="C242" s="3" t="s">
        <v>139</v>
      </c>
    </row>
    <row r="243" customFormat="false" ht="15.75" hidden="false" customHeight="false" outlineLevel="0" collapsed="false">
      <c r="A243" s="3" t="s">
        <v>320</v>
      </c>
      <c r="B243" s="3" t="s">
        <v>141</v>
      </c>
      <c r="C243" s="3" t="s">
        <v>141</v>
      </c>
    </row>
    <row r="244" customFormat="false" ht="15.75" hidden="false" customHeight="false" outlineLevel="0" collapsed="false">
      <c r="A244" s="3" t="s">
        <v>320</v>
      </c>
      <c r="B244" s="3" t="s">
        <v>228</v>
      </c>
      <c r="C244" s="3" t="s">
        <v>228</v>
      </c>
      <c r="D244" s="4" t="str">
        <f aca="false">IF(AND(EXACT(B244,C244),NOT(AND(ISBLANK(B244),ISBLANK(C244)))), "Common", "")</f>
        <v>Common</v>
      </c>
    </row>
    <row r="245" customFormat="false" ht="15.75" hidden="false" customHeight="false" outlineLevel="0" collapsed="false">
      <c r="A245" s="3" t="s">
        <v>321</v>
      </c>
      <c r="B245" s="3"/>
      <c r="C245" s="3" t="s">
        <v>35</v>
      </c>
    </row>
    <row r="246" customFormat="false" ht="15.75" hidden="false" customHeight="false" outlineLevel="0" collapsed="false">
      <c r="A246" s="3" t="s">
        <v>322</v>
      </c>
      <c r="B246" s="3" t="s">
        <v>254</v>
      </c>
      <c r="C246" s="3" t="s">
        <v>254</v>
      </c>
      <c r="D246" s="4" t="str">
        <f aca="false">IF(AND(EXACT(B246,C246),NOT(AND(ISBLANK(B246),ISBLANK(C246)))), "Common", "")</f>
        <v>Common</v>
      </c>
    </row>
    <row r="247" customFormat="false" ht="15.75" hidden="false" customHeight="false" outlineLevel="0" collapsed="false">
      <c r="A247" s="3" t="s">
        <v>323</v>
      </c>
      <c r="B247" s="3" t="s">
        <v>256</v>
      </c>
      <c r="C247" s="3" t="s">
        <v>256</v>
      </c>
      <c r="D247" s="4" t="str">
        <f aca="false">IF(AND(EXACT(B247,C247),NOT(AND(ISBLANK(B247),ISBLANK(C247)))), "Common", "")</f>
        <v>Common</v>
      </c>
    </row>
    <row r="248" customFormat="false" ht="15.75" hidden="false" customHeight="false" outlineLevel="0" collapsed="false">
      <c r="A248" s="3" t="s">
        <v>322</v>
      </c>
      <c r="B248" s="3" t="s">
        <v>258</v>
      </c>
      <c r="C248" s="3" t="s">
        <v>258</v>
      </c>
      <c r="D248" s="4" t="str">
        <f aca="false">IF(AND(EXACT(B248,C248),NOT(AND(ISBLANK(B248),ISBLANK(C248)))), "Common", "")</f>
        <v>Common</v>
      </c>
    </row>
    <row r="249" customFormat="false" ht="15.75" hidden="false" customHeight="false" outlineLevel="0" collapsed="false">
      <c r="A249" s="3" t="s">
        <v>322</v>
      </c>
      <c r="B249" s="3" t="s">
        <v>260</v>
      </c>
      <c r="C249" s="3" t="s">
        <v>254</v>
      </c>
      <c r="D249" s="4" t="str">
        <f aca="false">IF(AND(EXACT(B249,C249),NOT(AND(ISBLANK(B249),ISBLANK(C249)))), "Common", "")</f>
        <v/>
      </c>
    </row>
    <row r="250" customFormat="false" ht="15.75" hidden="false" customHeight="false" outlineLevel="0" collapsed="false">
      <c r="A250" s="3" t="s">
        <v>323</v>
      </c>
      <c r="B250" s="3"/>
      <c r="C250" s="3" t="s">
        <v>257</v>
      </c>
    </row>
    <row r="251" customFormat="false" ht="15.75" hidden="false" customHeight="false" outlineLevel="0" collapsed="false">
      <c r="A251" s="3" t="s">
        <v>324</v>
      </c>
      <c r="B251" s="3" t="s">
        <v>26</v>
      </c>
      <c r="D251" s="4" t="str">
        <f aca="false">IF(AND(EXACT(B251,C180),NOT(AND(ISBLANK(B251),ISBLANK(C180)))), "Common", "")</f>
        <v/>
      </c>
    </row>
    <row r="252" customFormat="false" ht="15.75" hidden="false" customHeight="false" outlineLevel="0" collapsed="false">
      <c r="A252" s="3" t="s">
        <v>324</v>
      </c>
      <c r="B252" s="3" t="s">
        <v>233</v>
      </c>
      <c r="C252" s="3" t="s">
        <v>224</v>
      </c>
      <c r="D252" s="4" t="str">
        <f aca="false">IF(AND(EXACT(B252,C252),NOT(AND(ISBLANK(B252),ISBLANK(C252)))), "Common", "")</f>
        <v/>
      </c>
    </row>
    <row r="253" customFormat="false" ht="15.75" hidden="false" customHeight="false" outlineLevel="0" collapsed="false">
      <c r="A253" s="3" t="s">
        <v>312</v>
      </c>
      <c r="B253" s="3" t="s">
        <v>269</v>
      </c>
      <c r="C253" s="3" t="s">
        <v>269</v>
      </c>
      <c r="D253" s="4" t="str">
        <f aca="false">IF(AND(EXACT(B253,C253),NOT(AND(ISBLANK(B253),ISBLANK(C253)))), "Common", "")</f>
        <v>Common</v>
      </c>
    </row>
    <row r="254" customFormat="false" ht="15.75" hidden="false" customHeight="false" outlineLevel="0" collapsed="false">
      <c r="A254" s="3" t="s">
        <v>325</v>
      </c>
      <c r="B254" s="3" t="s">
        <v>102</v>
      </c>
      <c r="C254" s="3"/>
      <c r="D254" s="4" t="str">
        <f aca="false">IF(AND(EXACT(B254,C254),NOT(AND(ISBLANK(B254),ISBLANK(C254)))), "Common", "")</f>
        <v/>
      </c>
    </row>
    <row r="255" customFormat="false" ht="15.75" hidden="false" customHeight="false" outlineLevel="0" collapsed="false">
      <c r="A255" s="3" t="s">
        <v>325</v>
      </c>
      <c r="B255" s="3" t="s">
        <v>102</v>
      </c>
      <c r="C255" s="3" t="s">
        <v>93</v>
      </c>
      <c r="D255" s="4" t="str">
        <f aca="false">IF(AND(EXACT(B255,C255),NOT(AND(ISBLANK(B255),ISBLANK(C255)))), "Common", "")</f>
        <v/>
      </c>
    </row>
    <row r="256" customFormat="false" ht="15.75" hidden="false" customHeight="false" outlineLevel="0" collapsed="false">
      <c r="A256" s="3" t="s">
        <v>325</v>
      </c>
      <c r="B256" s="3" t="s">
        <v>90</v>
      </c>
      <c r="C256" s="3" t="s">
        <v>94</v>
      </c>
      <c r="D256" s="4" t="str">
        <f aca="false">IF(AND(EXACT(B256,C256),NOT(AND(ISBLANK(B256),ISBLANK(C256)))), "Common", "")</f>
        <v/>
      </c>
    </row>
    <row r="257" customFormat="false" ht="15.75" hidden="false" customHeight="false" outlineLevel="0" collapsed="false">
      <c r="A257" s="3" t="s">
        <v>325</v>
      </c>
      <c r="B257" s="3" t="s">
        <v>87</v>
      </c>
      <c r="C257" s="3" t="s">
        <v>90</v>
      </c>
      <c r="D257" s="4" t="str">
        <f aca="false">IF(AND(EXACT(B257,C257),NOT(AND(ISBLANK(B257),ISBLANK(C257)))), "Common", "")</f>
        <v/>
      </c>
    </row>
    <row r="258" customFormat="false" ht="15.75" hidden="false" customHeight="false" outlineLevel="0" collapsed="false">
      <c r="A258" s="3" t="s">
        <v>325</v>
      </c>
      <c r="B258" s="3" t="s">
        <v>216</v>
      </c>
      <c r="C258" s="3" t="s">
        <v>187</v>
      </c>
      <c r="D258" s="4" t="str">
        <f aca="false">IF(AND(EXACT(B258,C258),NOT(AND(ISBLANK(B258),ISBLANK(C258)))), "Common", "")</f>
        <v/>
      </c>
    </row>
    <row r="259" customFormat="false" ht="15.75" hidden="false" customHeight="false" outlineLevel="0" collapsed="false">
      <c r="A259" s="3" t="s">
        <v>325</v>
      </c>
      <c r="B259" s="3" t="s">
        <v>90</v>
      </c>
      <c r="C259" s="3" t="s">
        <v>90</v>
      </c>
      <c r="D259" s="4" t="str">
        <f aca="false">IF(AND(EXACT(B259,C259),NOT(AND(ISBLANK(B259),ISBLANK(C259)))), "Common", "")</f>
        <v>Common</v>
      </c>
    </row>
    <row r="260" customFormat="false" ht="15.75" hidden="false" customHeight="false" outlineLevel="0" collapsed="false">
      <c r="A260" s="3" t="s">
        <v>326</v>
      </c>
      <c r="B260" s="3" t="s">
        <v>19</v>
      </c>
      <c r="C260" s="3"/>
      <c r="D260" s="4" t="str">
        <f aca="false">IF(AND(EXACT(B260,C260),NOT(AND(ISBLANK(B260),ISBLANK(C260)))), "Common", "")</f>
        <v/>
      </c>
    </row>
    <row r="261" customFormat="false" ht="15.75" hidden="false" customHeight="false" outlineLevel="0" collapsed="false">
      <c r="A261" s="3" t="s">
        <v>325</v>
      </c>
      <c r="B261" s="3"/>
      <c r="C261" s="3" t="s">
        <v>92</v>
      </c>
      <c r="D261" s="4" t="str">
        <f aca="false">IF(AND(EXACT(B261,C261),NOT(AND(ISBLANK(B261),ISBLANK(C261)))), "Common", "")</f>
        <v/>
      </c>
    </row>
    <row r="262" customFormat="false" ht="15.75" hidden="false" customHeight="false" outlineLevel="0" collapsed="false">
      <c r="A262" s="3" t="s">
        <v>327</v>
      </c>
      <c r="B262" s="3" t="s">
        <v>157</v>
      </c>
      <c r="C262" s="3" t="s">
        <v>226</v>
      </c>
      <c r="D262" s="7" t="e">
        <f aca="false">IF(AND(EXACT(#REF!,#REF!),NOT(AND(ISBLANK(#REF!),ISBLANK(#REF!)))), "Common", "")</f>
        <v>#REF!</v>
      </c>
    </row>
    <row r="263" customFormat="false" ht="15.75" hidden="false" customHeight="false" outlineLevel="0" collapsed="false">
      <c r="A263" s="3" t="s">
        <v>327</v>
      </c>
      <c r="B263" s="3" t="s">
        <v>159</v>
      </c>
      <c r="C263" s="3"/>
      <c r="D263" s="7" t="e">
        <f aca="false">IF(AND(EXACT(#REF!,C263),NOT(AND(ISBLANK(#REF!),ISBLANK(C263)))), "Common", "")</f>
        <v>#REF!</v>
      </c>
    </row>
    <row r="264" customFormat="false" ht="15.75" hidden="false" customHeight="false" outlineLevel="0" collapsed="false">
      <c r="A264" s="3" t="s">
        <v>327</v>
      </c>
      <c r="B264" s="3" t="s">
        <v>167</v>
      </c>
      <c r="C264" s="3" t="s">
        <v>128</v>
      </c>
      <c r="D264" s="7" t="e">
        <f aca="false">IF(AND(EXACT(#REF!,#REF!),NOT(AND(ISBLANK(#REF!),ISBLANK(#REF!)))), "Common", "")</f>
        <v>#REF!</v>
      </c>
    </row>
    <row r="265" customFormat="false" ht="15.75" hidden="false" customHeight="false" outlineLevel="0" collapsed="false">
      <c r="A265" s="3" t="s">
        <v>328</v>
      </c>
      <c r="B265" s="3" t="s">
        <v>219</v>
      </c>
      <c r="C265" s="3" t="s">
        <v>219</v>
      </c>
    </row>
    <row r="266" customFormat="false" ht="15.75" hidden="false" customHeight="false" outlineLevel="0" collapsed="false">
      <c r="A266" s="4"/>
      <c r="B266" s="3"/>
      <c r="C266" s="3"/>
    </row>
    <row r="267" customFormat="false" ht="15.75" hidden="false" customHeight="false" outlineLevel="0" collapsed="false">
      <c r="A267" s="4"/>
      <c r="B267" s="3"/>
      <c r="C267" s="3"/>
    </row>
    <row r="268" customFormat="false" ht="15.75" hidden="false" customHeight="false" outlineLevel="0" collapsed="false">
      <c r="A268" s="4"/>
      <c r="B268" s="3"/>
      <c r="C268" s="3"/>
    </row>
    <row r="269" customFormat="false" ht="15.75" hidden="false" customHeight="false" outlineLevel="0" collapsed="false">
      <c r="A269" s="4"/>
      <c r="B269" s="3"/>
      <c r="C269" s="3"/>
    </row>
    <row r="270" customFormat="false" ht="15.75" hidden="false" customHeight="false" outlineLevel="0" collapsed="false">
      <c r="A270" s="4"/>
      <c r="B270" s="3"/>
      <c r="C270" s="3"/>
    </row>
    <row r="271" customFormat="false" ht="15.75" hidden="false" customHeight="false" outlineLevel="0" collapsed="false">
      <c r="A271" s="4"/>
      <c r="B271" s="3"/>
      <c r="C271" s="3"/>
      <c r="D271" s="4" t="str">
        <f aca="false">IF(AND(EXACT(B271,C271),NOT(AND(ISBLANK(B271),ISBLANK(C271)))), "Common", "")</f>
        <v/>
      </c>
    </row>
    <row r="272" customFormat="false" ht="15.75" hidden="false" customHeight="false" outlineLevel="0" collapsed="false">
      <c r="A272" s="3" t="s">
        <v>329</v>
      </c>
      <c r="B272" s="3" t="s">
        <v>39</v>
      </c>
      <c r="C272" s="3" t="s">
        <v>39</v>
      </c>
      <c r="D272" s="4" t="str">
        <f aca="false">IF(AND(EXACT(B272,C272),NOT(AND(ISBLANK(B272),ISBLANK(C272)))), "Common", "")</f>
        <v>Common</v>
      </c>
    </row>
    <row r="273" customFormat="false" ht="15.75" hidden="false" customHeight="false" outlineLevel="0" collapsed="false">
      <c r="A273" s="3" t="s">
        <v>330</v>
      </c>
      <c r="B273" s="3" t="s">
        <v>40</v>
      </c>
      <c r="C273" s="3" t="s">
        <v>40</v>
      </c>
      <c r="D273" s="4" t="str">
        <f aca="false">IF(AND(EXACT(B273,C273),NOT(AND(ISBLANK(B273),ISBLANK(C273)))), "Common", "")</f>
        <v>Common</v>
      </c>
    </row>
    <row r="274" customFormat="false" ht="15.75" hidden="false" customHeight="false" outlineLevel="0" collapsed="false">
      <c r="A274" s="3" t="s">
        <v>329</v>
      </c>
      <c r="B274" s="3" t="s">
        <v>52</v>
      </c>
      <c r="C274" s="3" t="s">
        <v>198</v>
      </c>
      <c r="D274" s="4" t="str">
        <f aca="false">IF(AND(EXACT(B274,C274),NOT(AND(ISBLANK(B274),ISBLANK(C274)))), "Common", "")</f>
        <v/>
      </c>
    </row>
    <row r="275" customFormat="false" ht="15.75" hidden="false" customHeight="false" outlineLevel="0" collapsed="false">
      <c r="A275" s="3" t="s">
        <v>329</v>
      </c>
      <c r="B275" s="3" t="s">
        <v>41</v>
      </c>
      <c r="C275" s="3" t="s">
        <v>46</v>
      </c>
      <c r="D275" s="4" t="str">
        <f aca="false">IF(AND(EXACT(B275,C275),NOT(AND(ISBLANK(B275),ISBLANK(C275)))), "Common", "")</f>
        <v/>
      </c>
    </row>
    <row r="276" customFormat="false" ht="15.75" hidden="false" customHeight="false" outlineLevel="0" collapsed="false">
      <c r="A276" s="3" t="s">
        <v>330</v>
      </c>
      <c r="B276" s="3" t="s">
        <v>43</v>
      </c>
      <c r="C276" s="3"/>
      <c r="D276" s="4" t="str">
        <f aca="false">IF(AND(EXACT(B276,C276),NOT(AND(ISBLANK(B276),ISBLANK(C276)))), "Common", "")</f>
        <v/>
      </c>
    </row>
    <row r="277" customFormat="false" ht="15.75" hidden="false" customHeight="false" outlineLevel="0" collapsed="false">
      <c r="A277" s="3" t="s">
        <v>329</v>
      </c>
      <c r="B277" s="3" t="s">
        <v>45</v>
      </c>
      <c r="C277" s="3" t="s">
        <v>48</v>
      </c>
      <c r="D277" s="4" t="str">
        <f aca="false">IF(AND(EXACT(B277,C277),NOT(AND(ISBLANK(B277),ISBLANK(C277)))), "Common", "")</f>
        <v/>
      </c>
    </row>
    <row r="278" customFormat="false" ht="15.75" hidden="false" customHeight="false" outlineLevel="0" collapsed="false">
      <c r="A278" s="3" t="s">
        <v>329</v>
      </c>
      <c r="B278" s="3" t="s">
        <v>47</v>
      </c>
      <c r="C278" s="3"/>
      <c r="D278" s="4" t="str">
        <f aca="false">IF(AND(EXACT(B278,C278),NOT(AND(ISBLANK(B278),ISBLANK(C278)))), "Common", "")</f>
        <v/>
      </c>
    </row>
    <row r="279" customFormat="false" ht="15.75" hidden="false" customHeight="false" outlineLevel="0" collapsed="false">
      <c r="A279" s="3" t="s">
        <v>330</v>
      </c>
      <c r="B279" s="3" t="s">
        <v>49</v>
      </c>
      <c r="C279" s="3"/>
      <c r="D279" s="4" t="str">
        <f aca="false">IF(AND(EXACT(B279,C279),NOT(AND(ISBLANK(B279),ISBLANK(C279)))), "Common", "")</f>
        <v/>
      </c>
    </row>
    <row r="280" customFormat="false" ht="15.75" hidden="false" customHeight="false" outlineLevel="0" collapsed="false">
      <c r="A280" s="3" t="s">
        <v>329</v>
      </c>
      <c r="B280" s="3"/>
      <c r="C280" s="3" t="s">
        <v>42</v>
      </c>
      <c r="D280" s="4" t="str">
        <f aca="false">IF(AND(EXACT(B280,C280),NOT(AND(ISBLANK(B280),ISBLANK(C280)))), "Common", "")</f>
        <v/>
      </c>
    </row>
    <row r="281" customFormat="false" ht="15.75" hidden="false" customHeight="false" outlineLevel="0" collapsed="false">
      <c r="A281" s="3" t="s">
        <v>329</v>
      </c>
      <c r="B281" s="3"/>
      <c r="C281" s="3" t="s">
        <v>37</v>
      </c>
      <c r="D281" s="4" t="str">
        <f aca="false">IF(AND(EXACT(B281,C281),NOT(AND(ISBLANK(B281),ISBLANK(C281)))), "Common", "")</f>
        <v/>
      </c>
    </row>
    <row r="282" customFormat="false" ht="15.75" hidden="false" customHeight="false" outlineLevel="0" collapsed="false">
      <c r="A282" s="3" t="s">
        <v>331</v>
      </c>
      <c r="B282" s="3" t="s">
        <v>52</v>
      </c>
      <c r="C282" s="3" t="s">
        <v>200</v>
      </c>
    </row>
    <row r="283" customFormat="false" ht="15.75" hidden="false" customHeight="false" outlineLevel="0" collapsed="false">
      <c r="A283" s="3" t="s">
        <v>332</v>
      </c>
      <c r="B283" s="3"/>
      <c r="C283" s="3" t="s">
        <v>202</v>
      </c>
      <c r="D283" s="4" t="str">
        <f aca="false">IF(AND(EXACT(B283,C283),NOT(AND(ISBLANK(B283),ISBLANK(C283)))), "Common", "")</f>
        <v/>
      </c>
    </row>
    <row r="284" customFormat="false" ht="15.75" hidden="false" customHeight="false" outlineLevel="0" collapsed="false">
      <c r="A284" s="3" t="s">
        <v>331</v>
      </c>
      <c r="B284" s="3"/>
      <c r="C284" s="3" t="s">
        <v>204</v>
      </c>
    </row>
    <row r="285" customFormat="false" ht="15.75" hidden="false" customHeight="false" outlineLevel="0" collapsed="false">
      <c r="A285" s="3" t="s">
        <v>331</v>
      </c>
      <c r="B285" s="3"/>
      <c r="C285" s="3" t="s">
        <v>206</v>
      </c>
    </row>
    <row r="286" customFormat="false" ht="15.75" hidden="false" customHeight="false" outlineLevel="0" collapsed="false">
      <c r="A286" s="3" t="s">
        <v>331</v>
      </c>
      <c r="B286" s="3"/>
      <c r="C286" s="3" t="s">
        <v>208</v>
      </c>
    </row>
    <row r="287" customFormat="false" ht="15.75" hidden="false" customHeight="false" outlineLevel="0" collapsed="false">
      <c r="A287" s="4"/>
      <c r="B287" s="3"/>
      <c r="C287" s="3"/>
      <c r="D287" s="4" t="str">
        <f aca="false">IF(AND(EXACT(B287,C287),NOT(AND(ISBLANK(B287),ISBLANK(C287)))), "Common", "")</f>
        <v/>
      </c>
    </row>
    <row r="288" customFormat="false" ht="15.75" hidden="false" customHeight="false" outlineLevel="0" collapsed="false">
      <c r="A288" s="4"/>
      <c r="D288" s="4" t="str">
        <f aca="false">IF(AND(EXACT(B288,C288),NOT(AND(ISBLANK(B288),ISBLANK(C288)))), "Common", "")</f>
        <v/>
      </c>
    </row>
    <row r="289" customFormat="false" ht="15.75" hidden="false" customHeight="false" outlineLevel="0" collapsed="false">
      <c r="A289" s="4"/>
      <c r="D289" s="4" t="str">
        <f aca="false">IF(AND(EXACT(B265,C265),NOT(AND(ISBLANK(B265),ISBLANK(C265)))), "Common", "")</f>
        <v>Common</v>
      </c>
    </row>
    <row r="290" customFormat="false" ht="15.75" hidden="false" customHeight="false" outlineLevel="0" collapsed="false">
      <c r="A290" s="3" t="s">
        <v>333</v>
      </c>
      <c r="B290" s="3"/>
      <c r="C290" s="3" t="s">
        <v>222</v>
      </c>
      <c r="D290" s="4" t="str">
        <f aca="false">IF(AND(EXACT(B290,C290),NOT(AND(ISBLANK(B290),ISBLANK(C290)))), "Common", "")</f>
        <v/>
      </c>
    </row>
    <row r="291" customFormat="false" ht="15.75" hidden="false" customHeight="false" outlineLevel="0" collapsed="false">
      <c r="A291" s="3" t="s">
        <v>333</v>
      </c>
      <c r="B291" s="3" t="s">
        <v>59</v>
      </c>
      <c r="D291" s="4" t="str">
        <f aca="false">IF(AND(EXACT(B264,C264),NOT(AND(ISBLANK(B264),ISBLANK(C264)))), "Common", "")</f>
        <v/>
      </c>
    </row>
    <row r="292" customFormat="false" ht="15.75" hidden="false" customHeight="false" outlineLevel="0" collapsed="false">
      <c r="A292" s="3" t="s">
        <v>333</v>
      </c>
      <c r="B292" s="3" t="s">
        <v>63</v>
      </c>
      <c r="C292" s="3"/>
    </row>
    <row r="293" customFormat="false" ht="15.75" hidden="false" customHeight="false" outlineLevel="0" collapsed="false">
      <c r="A293" s="3" t="s">
        <v>333</v>
      </c>
      <c r="B293" s="3" t="s">
        <v>161</v>
      </c>
      <c r="C293" s="3"/>
      <c r="D293" s="4" t="str">
        <f aca="false">IF(AND(EXACT(B266,C266),NOT(AND(ISBLANK(B266),ISBLANK(C266)))), "Common", "")</f>
        <v/>
      </c>
    </row>
    <row r="294" customFormat="false" ht="15.75" hidden="false" customHeight="false" outlineLevel="0" collapsed="false">
      <c r="A294" s="3" t="s">
        <v>333</v>
      </c>
      <c r="B294" s="3" t="s">
        <v>163</v>
      </c>
      <c r="C294" s="3"/>
      <c r="D294" s="4" t="str">
        <f aca="false">IF(AND(EXACT(B267,C267),NOT(AND(ISBLANK(B267),ISBLANK(C267)))), "Common", "")</f>
        <v/>
      </c>
    </row>
    <row r="295" customFormat="false" ht="15.75" hidden="false" customHeight="false" outlineLevel="0" collapsed="false">
      <c r="A295" s="3" t="s">
        <v>333</v>
      </c>
      <c r="B295" s="3" t="s">
        <v>165</v>
      </c>
      <c r="C295" s="3"/>
      <c r="D295" s="4" t="str">
        <f aca="false">IF(AND(EXACT(B262,C295),NOT(AND(ISBLANK(B262),ISBLANK(C295)))), "Common", "")</f>
        <v/>
      </c>
    </row>
    <row r="296" customFormat="false" ht="15.75" hidden="false" customHeight="false" outlineLevel="0" collapsed="false">
      <c r="A296" s="4"/>
      <c r="C296" s="3"/>
      <c r="D296" s="4" t="str">
        <f aca="false">IF(AND(EXACT(B263,C296),NOT(AND(ISBLANK(B263),ISBLANK(C296)))), "Common", "")</f>
        <v/>
      </c>
    </row>
    <row r="297" customFormat="false" ht="15.75" hidden="false" customHeight="false" outlineLevel="0" collapsed="false">
      <c r="A297" s="4"/>
      <c r="C297" s="3"/>
      <c r="D297" s="4" t="str">
        <f aca="false">IF(AND(EXACT(B293,C297),NOT(AND(ISBLANK(B293),ISBLANK(C297)))), "Common", "")</f>
        <v/>
      </c>
    </row>
    <row r="298" customFormat="false" ht="15.75" hidden="false" customHeight="false" outlineLevel="0" collapsed="false">
      <c r="A298" s="4"/>
      <c r="C298" s="3"/>
      <c r="D298" s="4" t="str">
        <f aca="false">IF(AND(EXACT(B294,C298),NOT(AND(ISBLANK(B294),ISBLANK(C298)))), "Common", "")</f>
        <v/>
      </c>
    </row>
    <row r="299" customFormat="false" ht="15.75" hidden="false" customHeight="false" outlineLevel="0" collapsed="false">
      <c r="A299" s="4"/>
      <c r="C299" s="3"/>
      <c r="D299" s="4" t="str">
        <f aca="false">IF(AND(EXACT(B295,C299),NOT(AND(ISBLANK(B295),ISBLANK(C299)))), "Common", "")</f>
        <v/>
      </c>
    </row>
    <row r="300" customFormat="false" ht="15.75" hidden="false" customHeight="false" outlineLevel="0" collapsed="false">
      <c r="A300" s="4"/>
      <c r="B300" s="3"/>
      <c r="C300" s="3"/>
      <c r="D300" s="4" t="str">
        <f aca="false">IF(AND(EXACT(B300,C300),NOT(AND(ISBLANK(B300),ISBLANK(C300)))), "Common", "")</f>
        <v/>
      </c>
    </row>
    <row r="301" customFormat="false" ht="15.75" hidden="false" customHeight="false" outlineLevel="0" collapsed="false">
      <c r="A301" s="4"/>
      <c r="B301" s="3"/>
      <c r="C301" s="3"/>
      <c r="D301" s="4" t="str">
        <f aca="false">IF(AND(EXACT(B301,C301),NOT(AND(ISBLANK(B301),ISBLANK(C301)))), "Common", "")</f>
        <v/>
      </c>
    </row>
    <row r="302" customFormat="false" ht="15.75" hidden="false" customHeight="false" outlineLevel="0" collapsed="false">
      <c r="A302" s="4"/>
      <c r="B302" s="3"/>
      <c r="C302" s="3"/>
      <c r="D302" s="4" t="str">
        <f aca="false">IF(AND(EXACT(B302,C302),NOT(AND(ISBLANK(B302),ISBLANK(C302)))), "Common", "")</f>
        <v/>
      </c>
    </row>
    <row r="303" customFormat="false" ht="15.75" hidden="false" customHeight="false" outlineLevel="0" collapsed="false">
      <c r="A303" s="4"/>
      <c r="B303" s="3"/>
      <c r="C303" s="3"/>
      <c r="D303" s="4" t="str">
        <f aca="false">IF(AND(EXACT(B303,C303),NOT(AND(ISBLANK(B303),ISBLANK(C303)))), "Common", "")</f>
        <v/>
      </c>
    </row>
    <row r="304" customFormat="false" ht="15.75" hidden="false" customHeight="false" outlineLevel="0" collapsed="false">
      <c r="A304" s="4"/>
      <c r="B304" s="3"/>
      <c r="C304" s="3"/>
      <c r="D304" s="4" t="str">
        <f aca="false">IF(AND(EXACT(B304,C304),NOT(AND(ISBLANK(B304),ISBLANK(C304)))), "Common", "")</f>
        <v/>
      </c>
    </row>
    <row r="305" customFormat="false" ht="15.75" hidden="false" customHeight="false" outlineLevel="0" collapsed="false">
      <c r="A305" s="4"/>
      <c r="B305" s="3"/>
      <c r="C305" s="3"/>
      <c r="D305" s="4" t="str">
        <f aca="false">IF(AND(EXACT(B305,C305),NOT(AND(ISBLANK(B305),ISBLANK(C305)))), "Common", "")</f>
        <v/>
      </c>
    </row>
    <row r="306" customFormat="false" ht="15.75" hidden="false" customHeight="false" outlineLevel="0" collapsed="false">
      <c r="A306" s="4"/>
      <c r="B306" s="3"/>
      <c r="C306" s="3"/>
      <c r="D306" s="4" t="str">
        <f aca="false">IF(AND(EXACT(B306,C306),NOT(AND(ISBLANK(B306),ISBLANK(C306)))), "Common", "")</f>
        <v/>
      </c>
    </row>
    <row r="307" customFormat="false" ht="15.75" hidden="false" customHeight="false" outlineLevel="0" collapsed="false">
      <c r="A307" s="4"/>
      <c r="B307" s="3"/>
      <c r="C307" s="3"/>
      <c r="D307" s="4" t="str">
        <f aca="false">IF(AND(EXACT(B307,C307),NOT(AND(ISBLANK(B307),ISBLANK(C307)))), "Common", "")</f>
        <v/>
      </c>
    </row>
    <row r="308" customFormat="false" ht="15.75" hidden="false" customHeight="false" outlineLevel="0" collapsed="false">
      <c r="A308" s="4"/>
      <c r="B308" s="3"/>
      <c r="C308" s="3"/>
      <c r="D308" s="4" t="str">
        <f aca="false">IF(AND(EXACT(B308,C308),NOT(AND(ISBLANK(B308),ISBLANK(C308)))), "Common", "")</f>
        <v/>
      </c>
    </row>
    <row r="309" customFormat="false" ht="15.75" hidden="false" customHeight="false" outlineLevel="0" collapsed="false">
      <c r="A309" s="4"/>
      <c r="B309" s="3"/>
      <c r="C309" s="3"/>
      <c r="D309" s="4" t="str">
        <f aca="false">IF(AND(EXACT(B309,C309),NOT(AND(ISBLANK(B309),ISBLANK(C309)))), "Common", "")</f>
        <v/>
      </c>
    </row>
    <row r="310" customFormat="false" ht="15.75" hidden="false" customHeight="false" outlineLevel="0" collapsed="false">
      <c r="A310" s="4"/>
      <c r="B310" s="3"/>
      <c r="C310" s="3"/>
      <c r="D310" s="4" t="str">
        <f aca="false">IF(AND(EXACT(B310,C310),NOT(AND(ISBLANK(B310),ISBLANK(C310)))), "Common", "")</f>
        <v/>
      </c>
    </row>
    <row r="311" customFormat="false" ht="15.75" hidden="false" customHeight="false" outlineLevel="0" collapsed="false">
      <c r="A311" s="4"/>
      <c r="B311" s="3"/>
      <c r="C311" s="3"/>
      <c r="D311" s="4" t="str">
        <f aca="false">IF(AND(EXACT(B311,C311),NOT(AND(ISBLANK(B311),ISBLANK(C311)))), "Common", "")</f>
        <v/>
      </c>
    </row>
    <row r="312" customFormat="false" ht="15.75" hidden="false" customHeight="false" outlineLevel="0" collapsed="false">
      <c r="A312" s="4"/>
      <c r="B312" s="3"/>
      <c r="C312" s="3"/>
      <c r="D312" s="4" t="str">
        <f aca="false">IF(AND(EXACT(B312,C312),NOT(AND(ISBLANK(B312),ISBLANK(C312)))), "Common", "")</f>
        <v/>
      </c>
    </row>
    <row r="313" customFormat="false" ht="15.75" hidden="false" customHeight="false" outlineLevel="0" collapsed="false">
      <c r="A313" s="4"/>
      <c r="B313" s="3"/>
      <c r="C313" s="3"/>
      <c r="D313" s="4" t="str">
        <f aca="false">IF(AND(EXACT(B313,C313),NOT(AND(ISBLANK(B313),ISBLANK(C313)))), "Common", "")</f>
        <v/>
      </c>
    </row>
    <row r="314" customFormat="false" ht="15.75" hidden="false" customHeight="false" outlineLevel="0" collapsed="false">
      <c r="A314" s="4"/>
      <c r="B314" s="3"/>
      <c r="C314" s="3"/>
      <c r="D314" s="4" t="str">
        <f aca="false">IF(AND(EXACT(B314,C314),NOT(AND(ISBLANK(B314),ISBLANK(C314)))), "Common", "")</f>
        <v/>
      </c>
    </row>
    <row r="315" customFormat="false" ht="15.75" hidden="false" customHeight="false" outlineLevel="0" collapsed="false">
      <c r="A315" s="4"/>
      <c r="B315" s="3"/>
      <c r="C315" s="3"/>
      <c r="D315" s="4" t="str">
        <f aca="false">IF(AND(EXACT(B315,C315),NOT(AND(ISBLANK(B315),ISBLANK(C315)))), "Common", "")</f>
        <v/>
      </c>
    </row>
    <row r="316" customFormat="false" ht="15.75" hidden="false" customHeight="false" outlineLevel="0" collapsed="false">
      <c r="A316" s="4"/>
      <c r="B316" s="3"/>
      <c r="C316" s="3"/>
      <c r="D316" s="4" t="str">
        <f aca="false">IF(AND(EXACT(B316,C316),NOT(AND(ISBLANK(B316),ISBLANK(C316)))), "Common", "")</f>
        <v/>
      </c>
    </row>
    <row r="317" customFormat="false" ht="15.75" hidden="false" customHeight="false" outlineLevel="0" collapsed="false">
      <c r="A317" s="4"/>
      <c r="B317" s="3"/>
      <c r="C317" s="3"/>
      <c r="D317" s="4" t="str">
        <f aca="false">IF(AND(EXACT(B317,C317),NOT(AND(ISBLANK(B317),ISBLANK(C317)))), "Common", "")</f>
        <v/>
      </c>
    </row>
    <row r="318" customFormat="false" ht="15.75" hidden="false" customHeight="false" outlineLevel="0" collapsed="false">
      <c r="A318" s="4"/>
      <c r="B318" s="3"/>
      <c r="C318" s="3"/>
      <c r="D318" s="4" t="str">
        <f aca="false">IF(AND(EXACT(B318,C318),NOT(AND(ISBLANK(B318),ISBLANK(C318)))), "Common", "")</f>
        <v/>
      </c>
    </row>
    <row r="319" customFormat="false" ht="15.75" hidden="false" customHeight="false" outlineLevel="0" collapsed="false">
      <c r="A319" s="4"/>
      <c r="B319" s="3"/>
      <c r="C319" s="3"/>
      <c r="D319" s="4" t="str">
        <f aca="false">IF(AND(EXACT(B319,C319),NOT(AND(ISBLANK(B319),ISBLANK(C319)))), "Common", "")</f>
        <v/>
      </c>
    </row>
    <row r="320" customFormat="false" ht="15.75" hidden="false" customHeight="false" outlineLevel="0" collapsed="false">
      <c r="A320" s="4"/>
      <c r="B320" s="3"/>
      <c r="C320" s="3"/>
      <c r="D320" s="4" t="str">
        <f aca="false">IF(AND(EXACT(B320,C320),NOT(AND(ISBLANK(B320),ISBLANK(C320)))), "Common", "")</f>
        <v/>
      </c>
    </row>
    <row r="321" customFormat="false" ht="15.75" hidden="false" customHeight="false" outlineLevel="0" collapsed="false">
      <c r="A321" s="4"/>
      <c r="B321" s="3"/>
      <c r="C321" s="3"/>
      <c r="D321" s="4" t="str">
        <f aca="false">IF(AND(EXACT(B321,C321),NOT(AND(ISBLANK(B321),ISBLANK(C321)))), "Common", "")</f>
        <v/>
      </c>
    </row>
    <row r="322" customFormat="false" ht="15.75" hidden="false" customHeight="false" outlineLevel="0" collapsed="false">
      <c r="A322" s="4"/>
      <c r="B322" s="3"/>
      <c r="C322" s="3"/>
      <c r="D322" s="4" t="str">
        <f aca="false">IF(AND(EXACT(B322,C322),NOT(AND(ISBLANK(B322),ISBLANK(C322)))), "Common", "")</f>
        <v/>
      </c>
    </row>
    <row r="323" customFormat="false" ht="15.75" hidden="false" customHeight="false" outlineLevel="0" collapsed="false">
      <c r="A323" s="4"/>
      <c r="B323" s="3"/>
      <c r="C323" s="3"/>
      <c r="D323" s="4" t="str">
        <f aca="false">IF(AND(EXACT(B323,C323),NOT(AND(ISBLANK(B323),ISBLANK(C323)))), "Common", "")</f>
        <v/>
      </c>
    </row>
    <row r="324" customFormat="false" ht="15.75" hidden="false" customHeight="false" outlineLevel="0" collapsed="false">
      <c r="A324" s="4"/>
      <c r="B324" s="3"/>
      <c r="C324" s="3"/>
      <c r="D324" s="4" t="str">
        <f aca="false">IF(AND(EXACT(B324,C324),NOT(AND(ISBLANK(B324),ISBLANK(C324)))), "Common", "")</f>
        <v/>
      </c>
    </row>
    <row r="325" customFormat="false" ht="15.75" hidden="false" customHeight="false" outlineLevel="0" collapsed="false">
      <c r="A325" s="4"/>
      <c r="B325" s="3"/>
      <c r="C325" s="3"/>
      <c r="D325" s="4" t="str">
        <f aca="false">IF(AND(EXACT(B325,C325),NOT(AND(ISBLANK(B325),ISBLANK(C325)))), "Common", "")</f>
        <v/>
      </c>
    </row>
    <row r="326" customFormat="false" ht="15.75" hidden="false" customHeight="false" outlineLevel="0" collapsed="false">
      <c r="A326" s="4"/>
      <c r="B326" s="3"/>
      <c r="C326" s="3"/>
      <c r="D326" s="4" t="str">
        <f aca="false">IF(AND(EXACT(B326,C326),NOT(AND(ISBLANK(B326),ISBLANK(C326)))), "Common", "")</f>
        <v/>
      </c>
    </row>
    <row r="327" customFormat="false" ht="15.75" hidden="false" customHeight="false" outlineLevel="0" collapsed="false">
      <c r="A327" s="4"/>
      <c r="B327" s="3"/>
      <c r="C327" s="3"/>
      <c r="D327" s="4" t="str">
        <f aca="false">IF(AND(EXACT(B327,C327),NOT(AND(ISBLANK(B327),ISBLANK(C327)))), "Common", "")</f>
        <v/>
      </c>
    </row>
    <row r="328" customFormat="false" ht="15.75" hidden="false" customHeight="false" outlineLevel="0" collapsed="false">
      <c r="A328" s="4"/>
      <c r="B328" s="3"/>
      <c r="C328" s="3"/>
      <c r="D328" s="4" t="str">
        <f aca="false">IF(AND(EXACT(B328,C328),NOT(AND(ISBLANK(B328),ISBLANK(C328)))), "Common", "")</f>
        <v/>
      </c>
    </row>
    <row r="329" customFormat="false" ht="15.75" hidden="false" customHeight="false" outlineLevel="0" collapsed="false">
      <c r="A329" s="4"/>
      <c r="B329" s="3"/>
      <c r="C329" s="3"/>
      <c r="D329" s="4" t="str">
        <f aca="false">IF(AND(EXACT(B329,C329),NOT(AND(ISBLANK(B329),ISBLANK(C329)))), "Common", "")</f>
        <v/>
      </c>
    </row>
    <row r="330" customFormat="false" ht="15.75" hidden="false" customHeight="false" outlineLevel="0" collapsed="false">
      <c r="A330" s="4"/>
      <c r="B330" s="3"/>
      <c r="C330" s="3"/>
      <c r="D330" s="4" t="str">
        <f aca="false">IF(AND(EXACT(B330,C330),NOT(AND(ISBLANK(B330),ISBLANK(C330)))), "Common", "")</f>
        <v/>
      </c>
    </row>
    <row r="331" customFormat="false" ht="15.75" hidden="false" customHeight="false" outlineLevel="0" collapsed="false">
      <c r="A331" s="4"/>
      <c r="B331" s="3"/>
      <c r="C331" s="3"/>
      <c r="D331" s="4" t="str">
        <f aca="false">IF(AND(EXACT(B331,C331),NOT(AND(ISBLANK(B331),ISBLANK(C331)))), "Common", "")</f>
        <v/>
      </c>
    </row>
    <row r="332" customFormat="false" ht="15.75" hidden="false" customHeight="false" outlineLevel="0" collapsed="false">
      <c r="A332" s="4"/>
      <c r="B332" s="3"/>
      <c r="C332" s="3"/>
      <c r="D332" s="4" t="str">
        <f aca="false">IF(AND(EXACT(B332,C332),NOT(AND(ISBLANK(B332),ISBLANK(C332)))), "Common", "")</f>
        <v/>
      </c>
    </row>
    <row r="333" customFormat="false" ht="15.75" hidden="false" customHeight="false" outlineLevel="0" collapsed="false">
      <c r="A333" s="4"/>
      <c r="B333" s="3"/>
      <c r="C333" s="3"/>
      <c r="D333" s="4" t="str">
        <f aca="false">IF(AND(EXACT(B333,C333),NOT(AND(ISBLANK(B333),ISBLANK(C333)))), "Common", "")</f>
        <v/>
      </c>
    </row>
    <row r="334" customFormat="false" ht="15.75" hidden="false" customHeight="false" outlineLevel="0" collapsed="false">
      <c r="A334" s="4"/>
      <c r="B334" s="3"/>
      <c r="C334" s="3"/>
      <c r="D334" s="4" t="str">
        <f aca="false">IF(AND(EXACT(B334,C334),NOT(AND(ISBLANK(B334),ISBLANK(C334)))), "Common", "")</f>
        <v/>
      </c>
    </row>
    <row r="335" customFormat="false" ht="15.75" hidden="false" customHeight="false" outlineLevel="0" collapsed="false">
      <c r="A335" s="4"/>
      <c r="B335" s="3"/>
      <c r="C335" s="3"/>
      <c r="D335" s="4" t="str">
        <f aca="false">IF(AND(EXACT(B335,C335),NOT(AND(ISBLANK(B335),ISBLANK(C335)))), "Common", "")</f>
        <v/>
      </c>
    </row>
    <row r="336" customFormat="false" ht="15.75" hidden="false" customHeight="false" outlineLevel="0" collapsed="false">
      <c r="A336" s="4"/>
      <c r="B336" s="3"/>
      <c r="C336" s="3"/>
      <c r="D336" s="4" t="str">
        <f aca="false">IF(AND(EXACT(B336,C336),NOT(AND(ISBLANK(B336),ISBLANK(C336)))), "Common", "")</f>
        <v/>
      </c>
    </row>
    <row r="337" customFormat="false" ht="15.75" hidden="false" customHeight="false" outlineLevel="0" collapsed="false">
      <c r="A337" s="4"/>
      <c r="B337" s="3"/>
      <c r="C337" s="3"/>
      <c r="D337" s="4" t="str">
        <f aca="false">IF(AND(EXACT(B337,C337),NOT(AND(ISBLANK(B337),ISBLANK(C337)))), "Common", "")</f>
        <v/>
      </c>
    </row>
    <row r="338" customFormat="false" ht="15.75" hidden="false" customHeight="false" outlineLevel="0" collapsed="false">
      <c r="A338" s="4"/>
      <c r="B338" s="3"/>
      <c r="C338" s="3"/>
      <c r="D338" s="4" t="str">
        <f aca="false">IF(AND(EXACT(B338,C338),NOT(AND(ISBLANK(B338),ISBLANK(C338)))), "Common", "")</f>
        <v/>
      </c>
    </row>
    <row r="339" customFormat="false" ht="15.75" hidden="false" customHeight="false" outlineLevel="0" collapsed="false">
      <c r="A339" s="4"/>
      <c r="B339" s="3"/>
      <c r="C339" s="3"/>
      <c r="D339" s="4" t="str">
        <f aca="false">IF(AND(EXACT(B339,C339),NOT(AND(ISBLANK(B339),ISBLANK(C339)))), "Common", "")</f>
        <v/>
      </c>
    </row>
    <row r="340" customFormat="false" ht="15.75" hidden="false" customHeight="false" outlineLevel="0" collapsed="false">
      <c r="A340" s="4"/>
      <c r="B340" s="3"/>
      <c r="C340" s="3"/>
      <c r="D340" s="4" t="str">
        <f aca="false">IF(AND(EXACT(B340,C340),NOT(AND(ISBLANK(B340),ISBLANK(C340)))), "Common", "")</f>
        <v/>
      </c>
    </row>
    <row r="341" customFormat="false" ht="15.75" hidden="false" customHeight="false" outlineLevel="0" collapsed="false">
      <c r="A341" s="4"/>
      <c r="B341" s="3"/>
      <c r="C341" s="3"/>
      <c r="D341" s="4" t="str">
        <f aca="false">IF(AND(EXACT(B341,C341),NOT(AND(ISBLANK(B341),ISBLANK(C341)))), "Common", "")</f>
        <v/>
      </c>
    </row>
    <row r="342" customFormat="false" ht="15.75" hidden="false" customHeight="false" outlineLevel="0" collapsed="false">
      <c r="A342" s="4"/>
      <c r="B342" s="3"/>
      <c r="C342" s="3"/>
      <c r="D342" s="4" t="str">
        <f aca="false">IF(AND(EXACT(B342,C342),NOT(AND(ISBLANK(B342),ISBLANK(C342)))), "Common", "")</f>
        <v/>
      </c>
    </row>
    <row r="343" customFormat="false" ht="15.75" hidden="false" customHeight="false" outlineLevel="0" collapsed="false">
      <c r="A343" s="4"/>
      <c r="B343" s="3"/>
      <c r="C343" s="3"/>
      <c r="D343" s="4" t="str">
        <f aca="false">IF(AND(EXACT(B343,C343),NOT(AND(ISBLANK(B343),ISBLANK(C343)))), "Common", "")</f>
        <v/>
      </c>
    </row>
    <row r="344" customFormat="false" ht="15.75" hidden="false" customHeight="false" outlineLevel="0" collapsed="false">
      <c r="A344" s="4"/>
      <c r="B344" s="3"/>
      <c r="C344" s="3"/>
      <c r="D344" s="4" t="str">
        <f aca="false">IF(AND(EXACT(B344,C344),NOT(AND(ISBLANK(B344),ISBLANK(C344)))), "Common", "")</f>
        <v/>
      </c>
    </row>
    <row r="345" customFormat="false" ht="15.75" hidden="false" customHeight="false" outlineLevel="0" collapsed="false">
      <c r="A345" s="4"/>
      <c r="B345" s="3"/>
      <c r="C345" s="3"/>
      <c r="D345" s="4" t="str">
        <f aca="false">IF(AND(EXACT(B345,C345),NOT(AND(ISBLANK(B345),ISBLANK(C345)))), "Common", "")</f>
        <v/>
      </c>
    </row>
    <row r="346" customFormat="false" ht="15.75" hidden="false" customHeight="false" outlineLevel="0" collapsed="false">
      <c r="A346" s="4"/>
      <c r="B346" s="3"/>
      <c r="C346" s="3"/>
      <c r="D346" s="4" t="str">
        <f aca="false">IF(AND(EXACT(B346,C346),NOT(AND(ISBLANK(B346),ISBLANK(C346)))), "Common", "")</f>
        <v/>
      </c>
    </row>
    <row r="347" customFormat="false" ht="15.75" hidden="false" customHeight="false" outlineLevel="0" collapsed="false">
      <c r="A347" s="4"/>
      <c r="B347" s="3"/>
      <c r="C347" s="3"/>
      <c r="D347" s="4" t="str">
        <f aca="false">IF(AND(EXACT(B347,C347),NOT(AND(ISBLANK(B347),ISBLANK(C347)))), "Common", "")</f>
        <v/>
      </c>
    </row>
    <row r="348" customFormat="false" ht="15.75" hidden="false" customHeight="false" outlineLevel="0" collapsed="false">
      <c r="A348" s="4"/>
      <c r="B348" s="3"/>
      <c r="C348" s="3"/>
      <c r="D348" s="4" t="str">
        <f aca="false">IF(AND(EXACT(B348,C348),NOT(AND(ISBLANK(B348),ISBLANK(C348)))), "Common", "")</f>
        <v/>
      </c>
    </row>
    <row r="349" customFormat="false" ht="15.75" hidden="false" customHeight="false" outlineLevel="0" collapsed="false">
      <c r="A349" s="4"/>
      <c r="B349" s="3"/>
      <c r="C349" s="3"/>
      <c r="D349" s="4" t="str">
        <f aca="false">IF(AND(EXACT(B349,C349),NOT(AND(ISBLANK(B349),ISBLANK(C349)))), "Common", "")</f>
        <v/>
      </c>
    </row>
    <row r="350" customFormat="false" ht="15.75" hidden="false" customHeight="false" outlineLevel="0" collapsed="false">
      <c r="A350" s="4"/>
      <c r="B350" s="3"/>
      <c r="C350" s="3"/>
      <c r="D350" s="4" t="str">
        <f aca="false">IF(AND(EXACT(B350,C350),NOT(AND(ISBLANK(B350),ISBLANK(C350)))), "Common", "")</f>
        <v/>
      </c>
    </row>
    <row r="351" customFormat="false" ht="15.75" hidden="false" customHeight="false" outlineLevel="0" collapsed="false">
      <c r="A351" s="4"/>
      <c r="B351" s="3"/>
      <c r="C351" s="3"/>
      <c r="D351" s="4" t="str">
        <f aca="false">IF(AND(EXACT(B351,C351),NOT(AND(ISBLANK(B351),ISBLANK(C351)))), "Common", "")</f>
        <v/>
      </c>
    </row>
    <row r="352" customFormat="false" ht="15.75" hidden="false" customHeight="false" outlineLevel="0" collapsed="false">
      <c r="A352" s="4"/>
      <c r="B352" s="3"/>
      <c r="C352" s="3"/>
      <c r="D352" s="4" t="str">
        <f aca="false">IF(AND(EXACT(B352,C352),NOT(AND(ISBLANK(B352),ISBLANK(C352)))), "Common", "")</f>
        <v/>
      </c>
    </row>
    <row r="353" customFormat="false" ht="15.75" hidden="false" customHeight="false" outlineLevel="0" collapsed="false">
      <c r="A353" s="4"/>
      <c r="B353" s="3"/>
      <c r="C353" s="3"/>
      <c r="D353" s="4" t="str">
        <f aca="false">IF(AND(EXACT(B353,C353),NOT(AND(ISBLANK(B353),ISBLANK(C353)))), "Common", "")</f>
        <v/>
      </c>
    </row>
    <row r="354" customFormat="false" ht="15.75" hidden="false" customHeight="false" outlineLevel="0" collapsed="false">
      <c r="A354" s="4"/>
      <c r="B354" s="3"/>
      <c r="C354" s="3"/>
      <c r="D354" s="4" t="str">
        <f aca="false">IF(AND(EXACT(B354,C354),NOT(AND(ISBLANK(B354),ISBLANK(C354)))), "Common", "")</f>
        <v/>
      </c>
    </row>
    <row r="355" customFormat="false" ht="15.75" hidden="false" customHeight="false" outlineLevel="0" collapsed="false">
      <c r="A355" s="4"/>
      <c r="B355" s="3"/>
      <c r="C355" s="3"/>
      <c r="D355" s="4" t="str">
        <f aca="false">IF(AND(EXACT(B355,C355),NOT(AND(ISBLANK(B355),ISBLANK(C355)))), "Common", "")</f>
        <v/>
      </c>
    </row>
    <row r="356" customFormat="false" ht="15.75" hidden="false" customHeight="false" outlineLevel="0" collapsed="false">
      <c r="A356" s="4"/>
      <c r="B356" s="3"/>
      <c r="C356" s="3"/>
    </row>
    <row r="357" customFormat="false" ht="15.75" hidden="false" customHeight="false" outlineLevel="0" collapsed="false">
      <c r="A357" s="4"/>
      <c r="B357" s="3"/>
      <c r="C357" s="3"/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4"/>
      <c r="B362" s="3"/>
      <c r="C362" s="3"/>
    </row>
    <row r="363" customFormat="false" ht="15.75" hidden="false" customHeight="false" outlineLevel="0" collapsed="false">
      <c r="A363" s="4"/>
      <c r="B363" s="3"/>
      <c r="C363" s="3"/>
    </row>
    <row r="364" customFormat="false" ht="15.75" hidden="false" customHeight="false" outlineLevel="0" collapsed="false">
      <c r="A364" s="4"/>
      <c r="B364" s="3"/>
      <c r="C364" s="3"/>
    </row>
    <row r="365" customFormat="false" ht="15.75" hidden="false" customHeight="false" outlineLevel="0" collapsed="false">
      <c r="A365" s="4"/>
      <c r="B365" s="3"/>
      <c r="C365" s="3"/>
    </row>
    <row r="366" customFormat="false" ht="15.75" hidden="false" customHeight="false" outlineLevel="0" collapsed="false">
      <c r="A366" s="4"/>
      <c r="B366" s="3"/>
      <c r="C366" s="3"/>
    </row>
    <row r="367" customFormat="false" ht="15.75" hidden="false" customHeight="false" outlineLevel="0" collapsed="false">
      <c r="A367" s="4"/>
      <c r="B367" s="3"/>
      <c r="C367" s="3"/>
    </row>
    <row r="368" customFormat="false" ht="15.75" hidden="false" customHeight="false" outlineLevel="0" collapsed="false">
      <c r="A368" s="4"/>
      <c r="B368" s="3"/>
      <c r="C368" s="3"/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4"/>
      <c r="B372" s="3"/>
      <c r="C372" s="3"/>
    </row>
    <row r="373" customFormat="false" ht="15.75" hidden="false" customHeight="false" outlineLevel="0" collapsed="false">
      <c r="A373" s="4"/>
      <c r="B373" s="3"/>
      <c r="C373" s="3"/>
    </row>
    <row r="374" customFormat="false" ht="15.75" hidden="false" customHeight="false" outlineLevel="0" collapsed="false">
      <c r="A374" s="4"/>
      <c r="B374" s="3"/>
      <c r="C374" s="3"/>
    </row>
    <row r="375" customFormat="false" ht="15.75" hidden="false" customHeight="false" outlineLevel="0" collapsed="false">
      <c r="A375" s="4"/>
      <c r="B375" s="3"/>
      <c r="C375" s="3"/>
    </row>
    <row r="376" customFormat="false" ht="15.75" hidden="false" customHeight="false" outlineLevel="0" collapsed="false">
      <c r="A376" s="4"/>
      <c r="B376" s="3"/>
      <c r="C376" s="3"/>
    </row>
    <row r="377" customFormat="false" ht="15.75" hidden="false" customHeight="false" outlineLevel="0" collapsed="false">
      <c r="A377" s="4"/>
      <c r="B377" s="3"/>
      <c r="C377" s="3"/>
    </row>
    <row r="378" customFormat="false" ht="15.75" hidden="false" customHeight="false" outlineLevel="0" collapsed="false">
      <c r="A378" s="4"/>
      <c r="B378" s="3"/>
      <c r="C378" s="3"/>
    </row>
    <row r="379" customFormat="false" ht="15.75" hidden="false" customHeight="false" outlineLevel="0" collapsed="false">
      <c r="A379" s="4"/>
      <c r="B379" s="3"/>
      <c r="C379" s="3"/>
    </row>
    <row r="380" customFormat="false" ht="15.75" hidden="false" customHeight="false" outlineLevel="0" collapsed="false">
      <c r="A380" s="4"/>
      <c r="B380" s="3"/>
      <c r="C380" s="3"/>
    </row>
    <row r="381" customFormat="false" ht="15.75" hidden="false" customHeight="false" outlineLevel="0" collapsed="false">
      <c r="A381" s="4"/>
      <c r="B381" s="3"/>
      <c r="C381" s="3"/>
    </row>
    <row r="382" customFormat="false" ht="15.75" hidden="false" customHeight="false" outlineLevel="0" collapsed="false">
      <c r="A382" s="4"/>
      <c r="B382" s="3"/>
      <c r="C382" s="3"/>
    </row>
    <row r="383" customFormat="false" ht="15.75" hidden="false" customHeight="false" outlineLevel="0" collapsed="false">
      <c r="A383" s="4"/>
      <c r="B383" s="3"/>
      <c r="C383" s="3"/>
    </row>
    <row r="384" customFormat="false" ht="15.75" hidden="false" customHeight="false" outlineLevel="0" collapsed="false">
      <c r="A384" s="4"/>
      <c r="B384" s="3"/>
      <c r="C384" s="3"/>
    </row>
    <row r="385" customFormat="false" ht="15.75" hidden="false" customHeight="false" outlineLevel="0" collapsed="false">
      <c r="A385" s="4"/>
      <c r="B385" s="3"/>
      <c r="C385" s="3"/>
    </row>
    <row r="386" customFormat="false" ht="15.75" hidden="false" customHeight="false" outlineLevel="0" collapsed="false">
      <c r="A386" s="4"/>
      <c r="B386" s="3"/>
      <c r="C386" s="3"/>
    </row>
    <row r="387" customFormat="false" ht="15.75" hidden="false" customHeight="false" outlineLevel="0" collapsed="false">
      <c r="A387" s="4"/>
      <c r="B387" s="3"/>
      <c r="C387" s="3"/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</row>
    <row r="395" customFormat="false" ht="15.75" hidden="false" customHeight="false" outlineLevel="0" collapsed="false">
      <c r="A395" s="4"/>
      <c r="B395" s="3"/>
      <c r="C395" s="3"/>
    </row>
    <row r="396" customFormat="false" ht="15.75" hidden="false" customHeight="false" outlineLevel="0" collapsed="false">
      <c r="A396" s="4"/>
      <c r="B396" s="3"/>
      <c r="C396" s="3"/>
    </row>
    <row r="397" customFormat="false" ht="15.75" hidden="false" customHeight="false" outlineLevel="0" collapsed="false">
      <c r="A397" s="4"/>
      <c r="B397" s="3"/>
      <c r="C397" s="3"/>
    </row>
    <row r="398" customFormat="false" ht="15.75" hidden="false" customHeight="false" outlineLevel="0" collapsed="false">
      <c r="A398" s="4"/>
      <c r="B398" s="3"/>
      <c r="C398" s="3"/>
    </row>
    <row r="399" customFormat="false" ht="15.75" hidden="false" customHeight="false" outlineLevel="0" collapsed="false">
      <c r="A399" s="4"/>
      <c r="B399" s="3"/>
      <c r="C399" s="3"/>
    </row>
    <row r="400" customFormat="false" ht="15.75" hidden="false" customHeight="false" outlineLevel="0" collapsed="false">
      <c r="A400" s="4"/>
      <c r="B400" s="3"/>
      <c r="C400" s="3"/>
    </row>
    <row r="401" customFormat="false" ht="15.75" hidden="false" customHeight="false" outlineLevel="0" collapsed="false">
      <c r="A401" s="4"/>
      <c r="B401" s="3"/>
      <c r="C401" s="3"/>
    </row>
    <row r="402" customFormat="false" ht="15.75" hidden="false" customHeight="false" outlineLevel="0" collapsed="false">
      <c r="A402" s="4"/>
      <c r="B402" s="3"/>
      <c r="C402" s="3"/>
    </row>
    <row r="403" customFormat="false" ht="15.75" hidden="false" customHeight="false" outlineLevel="0" collapsed="false">
      <c r="A403" s="4"/>
      <c r="B403" s="3"/>
      <c r="C403" s="3"/>
    </row>
    <row r="404" customFormat="false" ht="15.75" hidden="false" customHeight="false" outlineLevel="0" collapsed="false">
      <c r="A404" s="4"/>
      <c r="B404" s="3"/>
      <c r="C404" s="3"/>
    </row>
    <row r="405" customFormat="false" ht="15.75" hidden="false" customHeight="false" outlineLevel="0" collapsed="false">
      <c r="A405" s="4"/>
      <c r="B405" s="3"/>
      <c r="C405" s="3"/>
    </row>
    <row r="406" customFormat="false" ht="15.75" hidden="false" customHeight="false" outlineLevel="0" collapsed="false">
      <c r="A406" s="4"/>
      <c r="B406" s="3"/>
      <c r="C406" s="3"/>
    </row>
    <row r="407" customFormat="false" ht="15.75" hidden="false" customHeight="false" outlineLevel="0" collapsed="false">
      <c r="A407" s="4"/>
      <c r="B407" s="3"/>
      <c r="C407" s="3"/>
    </row>
    <row r="408" customFormat="false" ht="15.75" hidden="false" customHeight="false" outlineLevel="0" collapsed="false">
      <c r="A408" s="4"/>
      <c r="B408" s="3"/>
      <c r="C408" s="3"/>
    </row>
    <row r="409" customFormat="false" ht="15.75" hidden="false" customHeight="false" outlineLevel="0" collapsed="false">
      <c r="A409" s="4"/>
      <c r="B409" s="3"/>
      <c r="C409" s="3"/>
    </row>
    <row r="410" customFormat="false" ht="15.75" hidden="false" customHeight="false" outlineLevel="0" collapsed="false">
      <c r="A410" s="4"/>
      <c r="B410" s="3"/>
      <c r="C410" s="3"/>
    </row>
    <row r="411" customFormat="false" ht="15.75" hidden="false" customHeight="false" outlineLevel="0" collapsed="false">
      <c r="A411" s="4"/>
      <c r="B411" s="3"/>
      <c r="C411" s="3"/>
    </row>
    <row r="412" customFormat="false" ht="15.75" hidden="false" customHeight="false" outlineLevel="0" collapsed="false">
      <c r="A412" s="4"/>
      <c r="B412" s="3"/>
      <c r="C412" s="3"/>
    </row>
    <row r="413" customFormat="false" ht="15.75" hidden="false" customHeight="false" outlineLevel="0" collapsed="false">
      <c r="A413" s="4"/>
      <c r="B413" s="3"/>
      <c r="C413" s="3"/>
    </row>
    <row r="414" customFormat="false" ht="15.75" hidden="false" customHeight="false" outlineLevel="0" collapsed="false">
      <c r="A414" s="4"/>
      <c r="B414" s="3"/>
      <c r="C414" s="3"/>
    </row>
    <row r="415" customFormat="false" ht="15.75" hidden="false" customHeight="false" outlineLevel="0" collapsed="false">
      <c r="A415" s="4"/>
      <c r="B415" s="3"/>
      <c r="C415" s="3"/>
    </row>
    <row r="416" customFormat="false" ht="15.75" hidden="false" customHeight="false" outlineLevel="0" collapsed="false">
      <c r="A416" s="4"/>
      <c r="B416" s="3"/>
      <c r="C416" s="3"/>
    </row>
    <row r="417" customFormat="false" ht="15.75" hidden="false" customHeight="false" outlineLevel="0" collapsed="false">
      <c r="A417" s="4"/>
      <c r="B417" s="3"/>
      <c r="C417" s="3"/>
    </row>
    <row r="418" customFormat="false" ht="15.75" hidden="false" customHeight="false" outlineLevel="0" collapsed="false">
      <c r="A418" s="4"/>
      <c r="B418" s="3"/>
      <c r="C418" s="3"/>
    </row>
    <row r="419" customFormat="false" ht="15.75" hidden="false" customHeight="false" outlineLevel="0" collapsed="false">
      <c r="A419" s="4"/>
      <c r="B419" s="3"/>
      <c r="C419" s="3"/>
    </row>
    <row r="420" customFormat="false" ht="15.75" hidden="false" customHeight="false" outlineLevel="0" collapsed="false">
      <c r="A420" s="4"/>
      <c r="B420" s="3"/>
      <c r="C420" s="3"/>
    </row>
    <row r="421" customFormat="false" ht="15.75" hidden="false" customHeight="false" outlineLevel="0" collapsed="false">
      <c r="A421" s="4"/>
      <c r="B421" s="3"/>
      <c r="C421" s="3"/>
    </row>
    <row r="422" customFormat="false" ht="15.75" hidden="false" customHeight="false" outlineLevel="0" collapsed="false">
      <c r="A422" s="4"/>
      <c r="B422" s="3"/>
      <c r="C422" s="3"/>
    </row>
    <row r="423" customFormat="false" ht="15.75" hidden="false" customHeight="false" outlineLevel="0" collapsed="false">
      <c r="A423" s="4"/>
      <c r="B423" s="3"/>
      <c r="C423" s="3"/>
    </row>
    <row r="424" customFormat="false" ht="15.75" hidden="false" customHeight="false" outlineLevel="0" collapsed="false">
      <c r="A424" s="4"/>
      <c r="B424" s="3"/>
      <c r="C424" s="3"/>
    </row>
    <row r="425" customFormat="false" ht="15.75" hidden="false" customHeight="false" outlineLevel="0" collapsed="false">
      <c r="A425" s="4"/>
      <c r="B425" s="3"/>
      <c r="C425" s="3"/>
    </row>
    <row r="426" customFormat="false" ht="15.75" hidden="false" customHeight="false" outlineLevel="0" collapsed="false">
      <c r="A426" s="4"/>
      <c r="B426" s="3"/>
      <c r="C426" s="3"/>
    </row>
    <row r="427" customFormat="false" ht="15.75" hidden="false" customHeight="false" outlineLevel="0" collapsed="false">
      <c r="A427" s="4"/>
      <c r="B427" s="3"/>
      <c r="C427" s="3"/>
    </row>
    <row r="428" customFormat="false" ht="15.75" hidden="false" customHeight="false" outlineLevel="0" collapsed="false">
      <c r="A428" s="4"/>
      <c r="B428" s="3"/>
      <c r="C428" s="3"/>
    </row>
    <row r="429" customFormat="false" ht="15.75" hidden="false" customHeight="false" outlineLevel="0" collapsed="false">
      <c r="A429" s="4"/>
      <c r="B429" s="3"/>
      <c r="C429" s="3"/>
    </row>
    <row r="430" customFormat="false" ht="15.75" hidden="false" customHeight="false" outlineLevel="0" collapsed="false">
      <c r="A430" s="4"/>
      <c r="B430" s="3"/>
      <c r="C430" s="3"/>
    </row>
    <row r="431" customFormat="false" ht="15.75" hidden="false" customHeight="false" outlineLevel="0" collapsed="false">
      <c r="A431" s="4"/>
      <c r="B431" s="3"/>
      <c r="C431" s="3"/>
    </row>
    <row r="432" customFormat="false" ht="15.75" hidden="false" customHeight="false" outlineLevel="0" collapsed="false">
      <c r="A432" s="4"/>
      <c r="B432" s="3"/>
      <c r="C432" s="3"/>
    </row>
    <row r="433" customFormat="false" ht="15.75" hidden="false" customHeight="false" outlineLevel="0" collapsed="false">
      <c r="A433" s="4"/>
      <c r="B433" s="3"/>
      <c r="C433" s="3"/>
    </row>
    <row r="434" customFormat="false" ht="15.75" hidden="false" customHeight="false" outlineLevel="0" collapsed="false">
      <c r="A434" s="4"/>
      <c r="B434" s="3"/>
      <c r="C434" s="3"/>
    </row>
    <row r="435" customFormat="false" ht="15.75" hidden="false" customHeight="false" outlineLevel="0" collapsed="false">
      <c r="A435" s="4"/>
      <c r="B435" s="3"/>
      <c r="C435" s="3"/>
    </row>
    <row r="436" customFormat="false" ht="15.75" hidden="false" customHeight="false" outlineLevel="0" collapsed="false">
      <c r="A436" s="4"/>
      <c r="B436" s="3"/>
      <c r="C436" s="3"/>
    </row>
    <row r="437" customFormat="false" ht="15.75" hidden="false" customHeight="false" outlineLevel="0" collapsed="false">
      <c r="A437" s="4"/>
      <c r="B437" s="3"/>
      <c r="C437" s="3"/>
    </row>
    <row r="438" customFormat="false" ht="15.75" hidden="false" customHeight="false" outlineLevel="0" collapsed="false">
      <c r="A438" s="4"/>
      <c r="B438" s="3"/>
      <c r="C438" s="3"/>
    </row>
    <row r="439" customFormat="false" ht="15.75" hidden="false" customHeight="false" outlineLevel="0" collapsed="false">
      <c r="A439" s="4"/>
      <c r="B439" s="3"/>
      <c r="C439" s="3"/>
    </row>
    <row r="440" customFormat="false" ht="15.75" hidden="false" customHeight="false" outlineLevel="0" collapsed="false">
      <c r="A440" s="4"/>
      <c r="B440" s="3"/>
      <c r="C440" s="3"/>
    </row>
    <row r="441" customFormat="false" ht="15.75" hidden="false" customHeight="false" outlineLevel="0" collapsed="false">
      <c r="A441" s="4"/>
      <c r="B441" s="3"/>
      <c r="C441" s="3"/>
    </row>
    <row r="442" customFormat="false" ht="15.75" hidden="false" customHeight="false" outlineLevel="0" collapsed="false">
      <c r="A442" s="4"/>
      <c r="B442" s="3"/>
      <c r="C442" s="3"/>
    </row>
    <row r="443" customFormat="false" ht="15.75" hidden="false" customHeight="false" outlineLevel="0" collapsed="false">
      <c r="A443" s="4"/>
      <c r="B443" s="3"/>
      <c r="C443" s="3"/>
    </row>
    <row r="444" customFormat="false" ht="15.75" hidden="false" customHeight="false" outlineLevel="0" collapsed="false">
      <c r="A444" s="4"/>
      <c r="B444" s="3"/>
      <c r="C444" s="3"/>
    </row>
    <row r="445" customFormat="false" ht="15.75" hidden="false" customHeight="false" outlineLevel="0" collapsed="false">
      <c r="A445" s="4"/>
      <c r="B445" s="3"/>
      <c r="C445" s="3"/>
    </row>
    <row r="446" customFormat="false" ht="15.75" hidden="false" customHeight="false" outlineLevel="0" collapsed="false">
      <c r="A446" s="4"/>
      <c r="B446" s="3"/>
      <c r="C446" s="3"/>
    </row>
    <row r="447" customFormat="false" ht="15.75" hidden="false" customHeight="false" outlineLevel="0" collapsed="false">
      <c r="A447" s="4"/>
      <c r="B447" s="3"/>
      <c r="C447" s="3"/>
    </row>
    <row r="448" customFormat="false" ht="15.75" hidden="false" customHeight="false" outlineLevel="0" collapsed="false">
      <c r="A448" s="4"/>
      <c r="B448" s="3"/>
      <c r="C448" s="3"/>
    </row>
    <row r="449" customFormat="false" ht="15.75" hidden="false" customHeight="false" outlineLevel="0" collapsed="false">
      <c r="A449" s="4"/>
      <c r="B449" s="3"/>
      <c r="C449" s="3"/>
    </row>
    <row r="450" customFormat="false" ht="15.75" hidden="false" customHeight="false" outlineLevel="0" collapsed="false">
      <c r="A450" s="4"/>
      <c r="B450" s="3"/>
      <c r="C450" s="3"/>
    </row>
    <row r="451" customFormat="false" ht="15.75" hidden="false" customHeight="false" outlineLevel="0" collapsed="false">
      <c r="A451" s="4"/>
      <c r="B451" s="3"/>
      <c r="C451" s="3"/>
    </row>
    <row r="452" customFormat="false" ht="15.75" hidden="false" customHeight="false" outlineLevel="0" collapsed="false">
      <c r="A452" s="4"/>
      <c r="B452" s="3"/>
      <c r="C452" s="3"/>
    </row>
    <row r="453" customFormat="false" ht="15.75" hidden="false" customHeight="false" outlineLevel="0" collapsed="false">
      <c r="A453" s="4"/>
      <c r="B453" s="3"/>
      <c r="C453" s="3"/>
    </row>
    <row r="454" customFormat="false" ht="15.75" hidden="false" customHeight="false" outlineLevel="0" collapsed="false">
      <c r="A454" s="4"/>
      <c r="B454" s="3"/>
      <c r="C454" s="3"/>
    </row>
    <row r="455" customFormat="false" ht="15.75" hidden="false" customHeight="false" outlineLevel="0" collapsed="false">
      <c r="A455" s="4"/>
      <c r="B455" s="3"/>
      <c r="C455" s="3"/>
    </row>
    <row r="456" customFormat="false" ht="15.75" hidden="false" customHeight="false" outlineLevel="0" collapsed="false">
      <c r="A456" s="4"/>
      <c r="B456" s="3"/>
      <c r="C456" s="3"/>
    </row>
    <row r="457" customFormat="false" ht="15.75" hidden="false" customHeight="false" outlineLevel="0" collapsed="false">
      <c r="A457" s="4"/>
      <c r="B457" s="3"/>
      <c r="C457" s="3"/>
    </row>
    <row r="458" customFormat="false" ht="15.75" hidden="false" customHeight="false" outlineLevel="0" collapsed="false">
      <c r="A458" s="4"/>
      <c r="B458" s="3"/>
      <c r="C458" s="3"/>
    </row>
    <row r="459" customFormat="false" ht="15.75" hidden="false" customHeight="false" outlineLevel="0" collapsed="false">
      <c r="A459" s="4"/>
      <c r="B459" s="3"/>
      <c r="C459" s="3"/>
    </row>
    <row r="460" customFormat="false" ht="15.75" hidden="false" customHeight="false" outlineLevel="0" collapsed="false">
      <c r="A460" s="4"/>
      <c r="B460" s="3"/>
      <c r="C460" s="3"/>
    </row>
    <row r="461" customFormat="false" ht="15.75" hidden="false" customHeight="false" outlineLevel="0" collapsed="false">
      <c r="A461" s="4"/>
      <c r="B461" s="3"/>
      <c r="C461" s="3"/>
    </row>
    <row r="462" customFormat="false" ht="15.75" hidden="false" customHeight="false" outlineLevel="0" collapsed="false">
      <c r="A462" s="4"/>
      <c r="B462" s="3"/>
      <c r="C462" s="3"/>
    </row>
    <row r="463" customFormat="false" ht="15.75" hidden="false" customHeight="false" outlineLevel="0" collapsed="false">
      <c r="A463" s="4"/>
      <c r="B463" s="3"/>
      <c r="C463" s="3"/>
    </row>
    <row r="464" customFormat="false" ht="15.75" hidden="false" customHeight="false" outlineLevel="0" collapsed="false">
      <c r="A464" s="4"/>
      <c r="B464" s="3"/>
      <c r="C464" s="3"/>
    </row>
    <row r="465" customFormat="false" ht="15.75" hidden="false" customHeight="false" outlineLevel="0" collapsed="false">
      <c r="A465" s="4"/>
      <c r="B465" s="3"/>
      <c r="C465" s="3"/>
    </row>
    <row r="466" customFormat="false" ht="15.75" hidden="false" customHeight="false" outlineLevel="0" collapsed="false">
      <c r="A466" s="4"/>
      <c r="B466" s="3"/>
      <c r="C466" s="3"/>
    </row>
    <row r="467" customFormat="false" ht="15.75" hidden="false" customHeight="false" outlineLevel="0" collapsed="false">
      <c r="A467" s="4"/>
      <c r="B467" s="3"/>
      <c r="C467" s="3"/>
    </row>
    <row r="468" customFormat="false" ht="15.75" hidden="false" customHeight="false" outlineLevel="0" collapsed="false">
      <c r="A468" s="4"/>
      <c r="B468" s="3"/>
      <c r="C468" s="3"/>
    </row>
    <row r="469" customFormat="false" ht="15.75" hidden="false" customHeight="false" outlineLevel="0" collapsed="false">
      <c r="A469" s="4"/>
      <c r="B469" s="3"/>
      <c r="C469" s="3"/>
    </row>
    <row r="470" customFormat="false" ht="15.75" hidden="false" customHeight="false" outlineLevel="0" collapsed="false">
      <c r="A470" s="4"/>
      <c r="B470" s="3"/>
      <c r="C470" s="3"/>
    </row>
    <row r="471" customFormat="false" ht="15.75" hidden="false" customHeight="false" outlineLevel="0" collapsed="false">
      <c r="A471" s="4"/>
      <c r="B471" s="3"/>
      <c r="C471" s="3"/>
    </row>
    <row r="472" customFormat="false" ht="15.75" hidden="false" customHeight="false" outlineLevel="0" collapsed="false">
      <c r="A472" s="4"/>
      <c r="B472" s="3"/>
      <c r="C472" s="3"/>
    </row>
    <row r="473" customFormat="false" ht="15.75" hidden="false" customHeight="false" outlineLevel="0" collapsed="false">
      <c r="A473" s="4"/>
      <c r="B473" s="3"/>
      <c r="C473" s="3"/>
    </row>
    <row r="474" customFormat="false" ht="15.75" hidden="false" customHeight="false" outlineLevel="0" collapsed="false">
      <c r="A474" s="4"/>
      <c r="B474" s="3"/>
      <c r="C474" s="3"/>
    </row>
    <row r="475" customFormat="false" ht="15.75" hidden="false" customHeight="false" outlineLevel="0" collapsed="false">
      <c r="A475" s="4"/>
      <c r="B475" s="3"/>
      <c r="C475" s="3"/>
    </row>
    <row r="476" customFormat="false" ht="15.75" hidden="false" customHeight="false" outlineLevel="0" collapsed="false">
      <c r="A476" s="4"/>
      <c r="B476" s="3"/>
      <c r="C476" s="3"/>
    </row>
    <row r="477" customFormat="false" ht="15.75" hidden="false" customHeight="false" outlineLevel="0" collapsed="false">
      <c r="A477" s="4"/>
      <c r="B477" s="3"/>
      <c r="C477" s="3"/>
    </row>
    <row r="478" customFormat="false" ht="15.75" hidden="false" customHeight="false" outlineLevel="0" collapsed="false">
      <c r="A478" s="4"/>
      <c r="B478" s="3"/>
      <c r="C478" s="3"/>
    </row>
    <row r="479" customFormat="false" ht="15.75" hidden="false" customHeight="false" outlineLevel="0" collapsed="false">
      <c r="A479" s="4"/>
      <c r="B479" s="3"/>
      <c r="C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  <c r="C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  <c r="C488" s="3"/>
    </row>
    <row r="489" customFormat="false" ht="15.75" hidden="false" customHeight="false" outlineLevel="0" collapsed="false">
      <c r="A489" s="4"/>
      <c r="B489" s="3"/>
      <c r="C489" s="3"/>
    </row>
    <row r="490" customFormat="false" ht="15.75" hidden="false" customHeight="false" outlineLevel="0" collapsed="false">
      <c r="A490" s="4"/>
      <c r="B490" s="3"/>
      <c r="C490" s="3"/>
    </row>
    <row r="491" customFormat="false" ht="15.75" hidden="false" customHeight="false" outlineLevel="0" collapsed="false">
      <c r="A491" s="4"/>
      <c r="B491" s="3"/>
      <c r="C491" s="3"/>
    </row>
    <row r="492" customFormat="false" ht="15.75" hidden="false" customHeight="false" outlineLevel="0" collapsed="false">
      <c r="A492" s="4"/>
      <c r="B492" s="3"/>
      <c r="C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  <c r="B495" s="3"/>
      <c r="C495" s="3"/>
    </row>
    <row r="496" customFormat="false" ht="15.75" hidden="false" customHeight="false" outlineLevel="0" collapsed="false">
      <c r="A496" s="4"/>
      <c r="B496" s="3"/>
      <c r="C496" s="3"/>
    </row>
    <row r="497" customFormat="false" ht="15.75" hidden="false" customHeight="false" outlineLevel="0" collapsed="false">
      <c r="A497" s="4"/>
      <c r="B497" s="3"/>
      <c r="C497" s="3"/>
    </row>
    <row r="498" customFormat="false" ht="15.75" hidden="false" customHeight="false" outlineLevel="0" collapsed="false">
      <c r="A498" s="4"/>
      <c r="B498" s="3"/>
      <c r="C498" s="3"/>
    </row>
    <row r="499" customFormat="false" ht="15.75" hidden="false" customHeight="false" outlineLevel="0" collapsed="false">
      <c r="A499" s="4"/>
      <c r="B499" s="3"/>
      <c r="C499" s="3"/>
    </row>
    <row r="500" customFormat="false" ht="15.75" hidden="false" customHeight="false" outlineLevel="0" collapsed="false">
      <c r="A500" s="4"/>
      <c r="B500" s="3"/>
      <c r="C500" s="3"/>
    </row>
    <row r="501" customFormat="false" ht="15.75" hidden="false" customHeight="false" outlineLevel="0" collapsed="false">
      <c r="A501" s="4"/>
      <c r="B501" s="3"/>
      <c r="C501" s="3"/>
    </row>
    <row r="502" customFormat="false" ht="15.75" hidden="false" customHeight="false" outlineLevel="0" collapsed="false">
      <c r="A502" s="4"/>
      <c r="B502" s="3"/>
      <c r="C502" s="3"/>
    </row>
    <row r="503" customFormat="false" ht="15.75" hidden="false" customHeight="false" outlineLevel="0" collapsed="false">
      <c r="A503" s="4"/>
      <c r="B503" s="3"/>
      <c r="C503" s="3"/>
    </row>
    <row r="504" customFormat="false" ht="15.75" hidden="false" customHeight="false" outlineLevel="0" collapsed="false">
      <c r="A504" s="4"/>
      <c r="B504" s="3"/>
      <c r="C504" s="3"/>
    </row>
    <row r="505" customFormat="false" ht="15.75" hidden="false" customHeight="false" outlineLevel="0" collapsed="false">
      <c r="A505" s="4"/>
      <c r="B505" s="3"/>
      <c r="C505" s="3"/>
    </row>
    <row r="506" customFormat="false" ht="15.75" hidden="false" customHeight="false" outlineLevel="0" collapsed="false">
      <c r="A506" s="4"/>
      <c r="B506" s="3"/>
      <c r="C506" s="3"/>
    </row>
    <row r="507" customFormat="false" ht="15.75" hidden="false" customHeight="false" outlineLevel="0" collapsed="false">
      <c r="A507" s="4"/>
      <c r="B507" s="3"/>
      <c r="C507" s="3"/>
    </row>
    <row r="508" customFormat="false" ht="15.75" hidden="false" customHeight="false" outlineLevel="0" collapsed="false">
      <c r="A508" s="4"/>
      <c r="B508" s="3"/>
      <c r="C508" s="3"/>
    </row>
    <row r="509" customFormat="false" ht="15.75" hidden="false" customHeight="false" outlineLevel="0" collapsed="false">
      <c r="A509" s="4"/>
      <c r="B509" s="3"/>
      <c r="C509" s="3"/>
    </row>
    <row r="510" customFormat="false" ht="15.75" hidden="false" customHeight="false" outlineLevel="0" collapsed="false">
      <c r="A510" s="4"/>
      <c r="B510" s="3"/>
      <c r="C510" s="3"/>
    </row>
    <row r="511" customFormat="false" ht="15.75" hidden="false" customHeight="false" outlineLevel="0" collapsed="false">
      <c r="A511" s="4"/>
      <c r="B511" s="3"/>
      <c r="C511" s="3"/>
    </row>
    <row r="512" customFormat="false" ht="15.75" hidden="false" customHeight="false" outlineLevel="0" collapsed="false">
      <c r="A512" s="4"/>
      <c r="B512" s="3"/>
      <c r="C512" s="3"/>
    </row>
    <row r="513" customFormat="false" ht="15.75" hidden="false" customHeight="false" outlineLevel="0" collapsed="false">
      <c r="A513" s="4"/>
      <c r="B513" s="3"/>
      <c r="C513" s="3"/>
    </row>
    <row r="514" customFormat="false" ht="15.75" hidden="false" customHeight="false" outlineLevel="0" collapsed="false">
      <c r="A514" s="4"/>
      <c r="B514" s="3"/>
      <c r="C514" s="3"/>
    </row>
    <row r="515" customFormat="false" ht="15.75" hidden="false" customHeight="false" outlineLevel="0" collapsed="false">
      <c r="A515" s="4"/>
      <c r="B515" s="3"/>
      <c r="C515" s="3"/>
    </row>
    <row r="516" customFormat="false" ht="15.75" hidden="false" customHeight="false" outlineLevel="0" collapsed="false">
      <c r="A516" s="4"/>
      <c r="B516" s="3"/>
      <c r="C516" s="3"/>
    </row>
    <row r="517" customFormat="false" ht="15.75" hidden="false" customHeight="false" outlineLevel="0" collapsed="false">
      <c r="A517" s="4"/>
      <c r="B517" s="3"/>
      <c r="C517" s="3"/>
    </row>
    <row r="518" customFormat="false" ht="15.75" hidden="false" customHeight="false" outlineLevel="0" collapsed="false">
      <c r="A518" s="4"/>
      <c r="B518" s="3"/>
      <c r="C518" s="3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  <c r="B521" s="3"/>
      <c r="C521" s="3"/>
    </row>
    <row r="522" customFormat="false" ht="15.75" hidden="false" customHeight="false" outlineLevel="0" collapsed="false">
      <c r="A522" s="4"/>
      <c r="B522" s="3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  <c r="B530" s="3"/>
      <c r="C530" s="3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  <c r="C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B537" s="3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3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B550" s="3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4"/>
      <c r="B561" s="3"/>
      <c r="C561" s="3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  <c r="C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  <c r="C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  <c r="C586" s="3"/>
    </row>
    <row r="587" customFormat="false" ht="15.75" hidden="false" customHeight="false" outlineLevel="0" collapsed="false">
      <c r="A587" s="4"/>
      <c r="B587" s="3"/>
      <c r="C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  <c r="C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  <c r="C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  <c r="C597" s="3"/>
    </row>
    <row r="598" customFormat="false" ht="15.75" hidden="false" customHeight="false" outlineLevel="0" collapsed="false">
      <c r="A598" s="4"/>
      <c r="B598" s="3"/>
      <c r="C598" s="3"/>
    </row>
    <row r="599" customFormat="false" ht="15.75" hidden="false" customHeight="false" outlineLevel="0" collapsed="false">
      <c r="A599" s="4"/>
      <c r="B599" s="3"/>
      <c r="C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  <c r="C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A898" s="4"/>
      <c r="B898" s="3"/>
      <c r="C898" s="3"/>
    </row>
    <row r="899" customFormat="false" ht="15.75" hidden="false" customHeight="false" outlineLevel="0" collapsed="false">
      <c r="A899" s="4"/>
      <c r="B899" s="3"/>
      <c r="C899" s="3"/>
    </row>
    <row r="900" customFormat="false" ht="15.75" hidden="false" customHeight="false" outlineLevel="0" collapsed="false">
      <c r="A900" s="4"/>
      <c r="B900" s="3"/>
      <c r="C900" s="3"/>
    </row>
    <row r="901" customFormat="false" ht="15.75" hidden="false" customHeight="false" outlineLevel="0" collapsed="false">
      <c r="A901" s="4"/>
      <c r="B901" s="3"/>
      <c r="C901" s="3"/>
    </row>
    <row r="902" customFormat="false" ht="15.75" hidden="false" customHeight="false" outlineLevel="0" collapsed="false">
      <c r="A902" s="4"/>
      <c r="B902" s="3"/>
      <c r="C902" s="3"/>
    </row>
    <row r="903" customFormat="false" ht="15.75" hidden="false" customHeight="false" outlineLevel="0" collapsed="false">
      <c r="A903" s="4"/>
      <c r="B903" s="3"/>
      <c r="C903" s="3"/>
    </row>
    <row r="904" customFormat="false" ht="15.75" hidden="false" customHeight="false" outlineLevel="0" collapsed="false">
      <c r="A904" s="4"/>
      <c r="B904" s="3"/>
      <c r="C904" s="3"/>
    </row>
    <row r="905" customFormat="false" ht="15.75" hidden="false" customHeight="false" outlineLevel="0" collapsed="false">
      <c r="A905" s="4"/>
      <c r="B905" s="3"/>
      <c r="C905" s="3"/>
    </row>
    <row r="906" customFormat="false" ht="15.75" hidden="false" customHeight="false" outlineLevel="0" collapsed="false">
      <c r="A906" s="4"/>
      <c r="B906" s="3"/>
      <c r="C906" s="3"/>
    </row>
    <row r="907" customFormat="false" ht="15.75" hidden="false" customHeight="false" outlineLevel="0" collapsed="false">
      <c r="A907" s="4"/>
      <c r="B907" s="3"/>
      <c r="C907" s="3"/>
    </row>
    <row r="908" customFormat="false" ht="15.75" hidden="false" customHeight="false" outlineLevel="0" collapsed="false">
      <c r="A908" s="4"/>
      <c r="B908" s="3"/>
      <c r="C908" s="3"/>
    </row>
    <row r="909" customFormat="false" ht="15.75" hidden="false" customHeight="false" outlineLevel="0" collapsed="false">
      <c r="A909" s="4"/>
      <c r="B909" s="3"/>
      <c r="C909" s="3"/>
    </row>
    <row r="910" customFormat="false" ht="15.75" hidden="false" customHeight="false" outlineLevel="0" collapsed="false">
      <c r="A910" s="4"/>
      <c r="B910" s="3"/>
      <c r="C910" s="3"/>
    </row>
    <row r="911" customFormat="false" ht="15.75" hidden="false" customHeight="false" outlineLevel="0" collapsed="false">
      <c r="A911" s="4"/>
      <c r="B911" s="3"/>
      <c r="C911" s="3"/>
    </row>
    <row r="912" customFormat="false" ht="15.75" hidden="false" customHeight="false" outlineLevel="0" collapsed="false">
      <c r="A912" s="4"/>
      <c r="B912" s="3"/>
      <c r="C912" s="3"/>
    </row>
    <row r="913" customFormat="false" ht="15.75" hidden="false" customHeight="false" outlineLevel="0" collapsed="false">
      <c r="A913" s="4"/>
      <c r="B913" s="3"/>
      <c r="C913" s="3"/>
    </row>
    <row r="914" customFormat="false" ht="15.75" hidden="false" customHeight="false" outlineLevel="0" collapsed="false">
      <c r="A914" s="4"/>
      <c r="B914" s="3"/>
      <c r="C914" s="3"/>
    </row>
    <row r="915" customFormat="false" ht="15.75" hidden="false" customHeight="false" outlineLevel="0" collapsed="false">
      <c r="A915" s="4"/>
      <c r="B915" s="3"/>
      <c r="C915" s="3"/>
    </row>
    <row r="916" customFormat="false" ht="15.75" hidden="false" customHeight="false" outlineLevel="0" collapsed="false">
      <c r="A916" s="4"/>
      <c r="B916" s="3"/>
      <c r="C916" s="3"/>
    </row>
    <row r="917" customFormat="false" ht="15.75" hidden="false" customHeight="false" outlineLevel="0" collapsed="false">
      <c r="A917" s="4"/>
      <c r="B917" s="3"/>
      <c r="C917" s="3"/>
    </row>
    <row r="918" customFormat="false" ht="15.75" hidden="false" customHeight="false" outlineLevel="0" collapsed="false">
      <c r="A918" s="4"/>
      <c r="B918" s="3"/>
      <c r="C918" s="3"/>
    </row>
    <row r="919" customFormat="false" ht="15.75" hidden="false" customHeight="false" outlineLevel="0" collapsed="false">
      <c r="A919" s="4"/>
      <c r="B919" s="3"/>
      <c r="C919" s="3"/>
    </row>
    <row r="920" customFormat="false" ht="15.75" hidden="false" customHeight="false" outlineLevel="0" collapsed="false">
      <c r="A920" s="4"/>
      <c r="B920" s="3"/>
      <c r="C920" s="3"/>
    </row>
    <row r="921" customFormat="false" ht="15.75" hidden="false" customHeight="false" outlineLevel="0" collapsed="false">
      <c r="A921" s="4"/>
      <c r="B921" s="3"/>
      <c r="C921" s="3"/>
    </row>
    <row r="922" customFormat="false" ht="15.75" hidden="false" customHeight="false" outlineLevel="0" collapsed="false">
      <c r="A922" s="4"/>
      <c r="B922" s="3"/>
      <c r="C922" s="3"/>
    </row>
    <row r="923" customFormat="false" ht="15.75" hidden="false" customHeight="false" outlineLevel="0" collapsed="false">
      <c r="A923" s="4"/>
      <c r="B923" s="3"/>
      <c r="C923" s="3"/>
    </row>
    <row r="924" customFormat="false" ht="15.75" hidden="false" customHeight="false" outlineLevel="0" collapsed="false">
      <c r="A924" s="4"/>
      <c r="B924" s="3"/>
      <c r="C924" s="3"/>
    </row>
    <row r="925" customFormat="false" ht="15.75" hidden="false" customHeight="false" outlineLevel="0" collapsed="false">
      <c r="A925" s="4"/>
      <c r="B925" s="3"/>
      <c r="C925" s="3"/>
    </row>
    <row r="926" customFormat="false" ht="15.75" hidden="false" customHeight="false" outlineLevel="0" collapsed="false">
      <c r="A926" s="4"/>
      <c r="B926" s="3"/>
      <c r="C926" s="3"/>
    </row>
    <row r="927" customFormat="false" ht="15.75" hidden="false" customHeight="false" outlineLevel="0" collapsed="false">
      <c r="A927" s="4"/>
      <c r="B927" s="3"/>
      <c r="C927" s="3"/>
    </row>
    <row r="928" customFormat="false" ht="15.75" hidden="false" customHeight="false" outlineLevel="0" collapsed="false">
      <c r="A928" s="4"/>
      <c r="B928" s="3"/>
      <c r="C928" s="3"/>
    </row>
    <row r="929" customFormat="false" ht="15.75" hidden="false" customHeight="false" outlineLevel="0" collapsed="false">
      <c r="A929" s="4"/>
      <c r="B929" s="3"/>
      <c r="C929" s="3"/>
    </row>
    <row r="930" customFormat="false" ht="15.75" hidden="false" customHeight="false" outlineLevel="0" collapsed="false">
      <c r="A930" s="4"/>
      <c r="B930" s="3"/>
      <c r="C930" s="3"/>
    </row>
    <row r="931" customFormat="false" ht="15.75" hidden="false" customHeight="false" outlineLevel="0" collapsed="false">
      <c r="A931" s="4"/>
      <c r="B931" s="3"/>
      <c r="C931" s="3"/>
    </row>
    <row r="932" customFormat="false" ht="15.75" hidden="false" customHeight="false" outlineLevel="0" collapsed="false">
      <c r="A932" s="4"/>
      <c r="B932" s="3"/>
      <c r="C932" s="3"/>
    </row>
    <row r="933" customFormat="false" ht="15.75" hidden="false" customHeight="false" outlineLevel="0" collapsed="false">
      <c r="A933" s="4"/>
      <c r="B933" s="3"/>
      <c r="C933" s="3"/>
    </row>
    <row r="934" customFormat="false" ht="15.75" hidden="false" customHeight="false" outlineLevel="0" collapsed="false">
      <c r="A934" s="4"/>
      <c r="B934" s="3"/>
      <c r="C934" s="3"/>
    </row>
    <row r="935" customFormat="false" ht="15.75" hidden="false" customHeight="false" outlineLevel="0" collapsed="false">
      <c r="A935" s="4"/>
      <c r="B935" s="3"/>
      <c r="C935" s="3"/>
    </row>
    <row r="936" customFormat="false" ht="15.75" hidden="false" customHeight="false" outlineLevel="0" collapsed="false">
      <c r="A936" s="4"/>
      <c r="B936" s="3"/>
      <c r="C936" s="3"/>
    </row>
    <row r="937" customFormat="false" ht="15.75" hidden="false" customHeight="false" outlineLevel="0" collapsed="false">
      <c r="A937" s="4"/>
      <c r="B937" s="3"/>
      <c r="C937" s="3"/>
    </row>
    <row r="938" customFormat="false" ht="15.75" hidden="false" customHeight="false" outlineLevel="0" collapsed="false">
      <c r="A938" s="4"/>
      <c r="B938" s="3"/>
      <c r="C938" s="3"/>
    </row>
    <row r="939" customFormat="false" ht="15.75" hidden="false" customHeight="false" outlineLevel="0" collapsed="false">
      <c r="A939" s="4"/>
      <c r="B939" s="3"/>
      <c r="C939" s="3"/>
    </row>
    <row r="940" customFormat="false" ht="15.75" hidden="false" customHeight="false" outlineLevel="0" collapsed="false">
      <c r="A940" s="4"/>
      <c r="B940" s="3"/>
      <c r="C940" s="3"/>
    </row>
    <row r="941" customFormat="false" ht="15.75" hidden="false" customHeight="false" outlineLevel="0" collapsed="false">
      <c r="A941" s="4"/>
      <c r="B941" s="3"/>
      <c r="C941" s="3"/>
    </row>
    <row r="942" customFormat="false" ht="15.75" hidden="false" customHeight="false" outlineLevel="0" collapsed="false">
      <c r="A942" s="4"/>
      <c r="B942" s="3"/>
      <c r="C942" s="3"/>
    </row>
    <row r="943" customFormat="false" ht="15.75" hidden="false" customHeight="false" outlineLevel="0" collapsed="false">
      <c r="A943" s="4"/>
      <c r="B943" s="3"/>
      <c r="C943" s="3"/>
    </row>
    <row r="944" customFormat="false" ht="15.75" hidden="false" customHeight="false" outlineLevel="0" collapsed="false">
      <c r="A944" s="4"/>
      <c r="B944" s="3"/>
      <c r="C944" s="3"/>
    </row>
    <row r="945" customFormat="false" ht="15.75" hidden="false" customHeight="false" outlineLevel="0" collapsed="false">
      <c r="A945" s="4"/>
      <c r="B945" s="3"/>
      <c r="C945" s="3"/>
    </row>
    <row r="946" customFormat="false" ht="15.75" hidden="false" customHeight="false" outlineLevel="0" collapsed="false">
      <c r="A946" s="4"/>
      <c r="B946" s="3"/>
      <c r="C946" s="3"/>
    </row>
    <row r="947" customFormat="false" ht="15.75" hidden="false" customHeight="false" outlineLevel="0" collapsed="false">
      <c r="A947" s="4"/>
      <c r="B947" s="3"/>
      <c r="C947" s="3"/>
    </row>
    <row r="948" customFormat="false" ht="15.75" hidden="false" customHeight="false" outlineLevel="0" collapsed="false">
      <c r="A948" s="4"/>
      <c r="B948" s="3"/>
      <c r="C948" s="3"/>
    </row>
    <row r="949" customFormat="false" ht="15.75" hidden="false" customHeight="false" outlineLevel="0" collapsed="false">
      <c r="A949" s="4"/>
      <c r="B949" s="3"/>
      <c r="C949" s="3"/>
    </row>
    <row r="950" customFormat="false" ht="15.75" hidden="false" customHeight="false" outlineLevel="0" collapsed="false">
      <c r="A950" s="4"/>
      <c r="B950" s="3"/>
      <c r="C950" s="3"/>
    </row>
    <row r="951" customFormat="false" ht="15.75" hidden="false" customHeight="false" outlineLevel="0" collapsed="false">
      <c r="A951" s="4"/>
      <c r="B951" s="3"/>
      <c r="C951" s="3"/>
    </row>
    <row r="952" customFormat="false" ht="15.75" hidden="false" customHeight="false" outlineLevel="0" collapsed="false">
      <c r="A952" s="4"/>
      <c r="B952" s="3"/>
      <c r="C952" s="3"/>
    </row>
    <row r="953" customFormat="false" ht="15.75" hidden="false" customHeight="false" outlineLevel="0" collapsed="false">
      <c r="A953" s="4"/>
      <c r="B953" s="3"/>
      <c r="C953" s="3"/>
    </row>
    <row r="954" customFormat="false" ht="15.75" hidden="false" customHeight="false" outlineLevel="0" collapsed="false">
      <c r="A954" s="4"/>
      <c r="B954" s="3"/>
      <c r="C954" s="3"/>
    </row>
    <row r="955" customFormat="false" ht="15.75" hidden="false" customHeight="false" outlineLevel="0" collapsed="false">
      <c r="A955" s="4"/>
      <c r="B955" s="3"/>
      <c r="C955" s="3"/>
    </row>
    <row r="956" customFormat="false" ht="15.75" hidden="false" customHeight="false" outlineLevel="0" collapsed="false">
      <c r="A956" s="4"/>
      <c r="B956" s="3"/>
      <c r="C956" s="3"/>
    </row>
    <row r="957" customFormat="false" ht="15.75" hidden="false" customHeight="false" outlineLevel="0" collapsed="false">
      <c r="A957" s="4"/>
      <c r="B957" s="3"/>
      <c r="C957" s="3"/>
    </row>
    <row r="958" customFormat="false" ht="15.75" hidden="false" customHeight="false" outlineLevel="0" collapsed="false">
      <c r="A958" s="4"/>
      <c r="B958" s="3"/>
      <c r="C958" s="3"/>
    </row>
    <row r="959" customFormat="false" ht="15.75" hidden="false" customHeight="false" outlineLevel="0" collapsed="false">
      <c r="A959" s="4"/>
      <c r="B959" s="3"/>
      <c r="C959" s="3"/>
    </row>
    <row r="960" customFormat="false" ht="15.75" hidden="false" customHeight="false" outlineLevel="0" collapsed="false">
      <c r="A960" s="4"/>
      <c r="B960" s="3"/>
      <c r="C960" s="3"/>
    </row>
    <row r="961" customFormat="false" ht="15.75" hidden="false" customHeight="false" outlineLevel="0" collapsed="false">
      <c r="A961" s="4"/>
      <c r="B961" s="3"/>
      <c r="C961" s="3"/>
    </row>
    <row r="962" customFormat="false" ht="15.75" hidden="false" customHeight="false" outlineLevel="0" collapsed="false">
      <c r="A962" s="4"/>
      <c r="B962" s="3"/>
      <c r="C962" s="3"/>
    </row>
    <row r="963" customFormat="false" ht="15.75" hidden="false" customHeight="false" outlineLevel="0" collapsed="false">
      <c r="A963" s="4"/>
      <c r="B963" s="3"/>
      <c r="C963" s="3"/>
    </row>
    <row r="964" customFormat="false" ht="15.75" hidden="false" customHeight="false" outlineLevel="0" collapsed="false">
      <c r="A964" s="4"/>
      <c r="B964" s="3"/>
      <c r="C964" s="3"/>
    </row>
    <row r="965" customFormat="false" ht="15.75" hidden="false" customHeight="false" outlineLevel="0" collapsed="false">
      <c r="A965" s="4"/>
      <c r="B965" s="3"/>
      <c r="C965" s="3"/>
    </row>
    <row r="966" customFormat="false" ht="15.75" hidden="false" customHeight="false" outlineLevel="0" collapsed="false">
      <c r="A966" s="4"/>
      <c r="B966" s="3"/>
      <c r="C966" s="3"/>
    </row>
    <row r="967" customFormat="false" ht="15.75" hidden="false" customHeight="false" outlineLevel="0" collapsed="false">
      <c r="A967" s="4"/>
      <c r="B967" s="3"/>
      <c r="C967" s="3"/>
    </row>
    <row r="968" customFormat="false" ht="15.75" hidden="false" customHeight="false" outlineLevel="0" collapsed="false">
      <c r="A968" s="4"/>
      <c r="B968" s="3"/>
      <c r="C968" s="3"/>
    </row>
    <row r="969" customFormat="false" ht="15.75" hidden="false" customHeight="false" outlineLevel="0" collapsed="false">
      <c r="A969" s="4"/>
      <c r="B969" s="3"/>
      <c r="C969" s="3"/>
    </row>
    <row r="970" customFormat="false" ht="15.75" hidden="false" customHeight="false" outlineLevel="0" collapsed="false">
      <c r="A970" s="4"/>
      <c r="B970" s="3"/>
      <c r="C970" s="3"/>
    </row>
    <row r="971" customFormat="false" ht="15.75" hidden="false" customHeight="false" outlineLevel="0" collapsed="false">
      <c r="A971" s="4"/>
      <c r="B971" s="3"/>
      <c r="C971" s="3"/>
    </row>
    <row r="972" customFormat="false" ht="15.75" hidden="false" customHeight="false" outlineLevel="0" collapsed="false">
      <c r="A972" s="4"/>
      <c r="B972" s="3"/>
      <c r="C972" s="3"/>
    </row>
    <row r="973" customFormat="false" ht="15.75" hidden="false" customHeight="false" outlineLevel="0" collapsed="false">
      <c r="A973" s="4"/>
      <c r="B973" s="3"/>
      <c r="C973" s="3"/>
    </row>
    <row r="974" customFormat="false" ht="15.75" hidden="false" customHeight="false" outlineLevel="0" collapsed="false">
      <c r="A974" s="4"/>
      <c r="B974" s="3"/>
      <c r="C974" s="3"/>
    </row>
    <row r="975" customFormat="false" ht="15.75" hidden="false" customHeight="false" outlineLevel="0" collapsed="false">
      <c r="A975" s="4"/>
      <c r="B975" s="3"/>
      <c r="C975" s="3"/>
    </row>
    <row r="976" customFormat="false" ht="15.75" hidden="false" customHeight="false" outlineLevel="0" collapsed="false">
      <c r="A976" s="4"/>
      <c r="B976" s="3"/>
      <c r="C976" s="3"/>
    </row>
    <row r="977" customFormat="false" ht="15.75" hidden="false" customHeight="false" outlineLevel="0" collapsed="false">
      <c r="A977" s="4"/>
      <c r="B977" s="3"/>
      <c r="C977" s="3"/>
    </row>
    <row r="978" customFormat="false" ht="15.75" hidden="false" customHeight="false" outlineLevel="0" collapsed="false">
      <c r="A978" s="4"/>
      <c r="B978" s="3"/>
      <c r="C978" s="3"/>
    </row>
    <row r="979" customFormat="false" ht="15.75" hidden="false" customHeight="false" outlineLevel="0" collapsed="false">
      <c r="A979" s="4"/>
      <c r="B979" s="3"/>
      <c r="C979" s="3"/>
    </row>
    <row r="980" customFormat="false" ht="15.75" hidden="false" customHeight="false" outlineLevel="0" collapsed="false">
      <c r="A980" s="4"/>
      <c r="B980" s="3"/>
      <c r="C980" s="3"/>
    </row>
    <row r="981" customFormat="false" ht="15.75" hidden="false" customHeight="false" outlineLevel="0" collapsed="false">
      <c r="A981" s="4"/>
      <c r="B981" s="3"/>
      <c r="C981" s="3"/>
    </row>
    <row r="982" customFormat="false" ht="15.75" hidden="false" customHeight="false" outlineLevel="0" collapsed="false">
      <c r="A982" s="4"/>
      <c r="B982" s="3"/>
      <c r="C982" s="3"/>
    </row>
    <row r="983" customFormat="false" ht="15.75" hidden="false" customHeight="false" outlineLevel="0" collapsed="false">
      <c r="A983" s="4"/>
      <c r="B983" s="3"/>
      <c r="C983" s="3"/>
    </row>
    <row r="984" customFormat="false" ht="15.75" hidden="false" customHeight="false" outlineLevel="0" collapsed="false">
      <c r="A984" s="4"/>
      <c r="B984" s="3"/>
      <c r="C984" s="3"/>
    </row>
    <row r="985" customFormat="false" ht="15.75" hidden="false" customHeight="false" outlineLevel="0" collapsed="false">
      <c r="A985" s="4"/>
      <c r="B985" s="3"/>
      <c r="C985" s="3"/>
    </row>
    <row r="986" customFormat="false" ht="15.75" hidden="false" customHeight="false" outlineLevel="0" collapsed="false">
      <c r="A986" s="4"/>
      <c r="B986" s="3"/>
      <c r="C986" s="3"/>
    </row>
    <row r="987" customFormat="false" ht="15.75" hidden="false" customHeight="false" outlineLevel="0" collapsed="false">
      <c r="A987" s="4"/>
      <c r="B987" s="3"/>
      <c r="C987" s="3"/>
    </row>
    <row r="988" customFormat="false" ht="15.75" hidden="false" customHeight="false" outlineLevel="0" collapsed="false">
      <c r="A988" s="4"/>
      <c r="B988" s="3"/>
      <c r="C988" s="3"/>
    </row>
    <row r="989" customFormat="false" ht="15.75" hidden="false" customHeight="false" outlineLevel="0" collapsed="false">
      <c r="A989" s="4"/>
      <c r="B989" s="3"/>
      <c r="C989" s="3"/>
    </row>
    <row r="990" customFormat="false" ht="15.75" hidden="false" customHeight="false" outlineLevel="0" collapsed="false">
      <c r="A990" s="4"/>
      <c r="B990" s="3"/>
      <c r="C990" s="3"/>
    </row>
    <row r="991" customFormat="false" ht="15.75" hidden="false" customHeight="false" outlineLevel="0" collapsed="false">
      <c r="A991" s="4"/>
      <c r="B991" s="3"/>
      <c r="C991" s="3"/>
    </row>
    <row r="992" customFormat="false" ht="15.75" hidden="false" customHeight="false" outlineLevel="0" collapsed="false">
      <c r="A992" s="4"/>
      <c r="B992" s="3"/>
      <c r="C992" s="3"/>
    </row>
    <row r="993" customFormat="false" ht="15.75" hidden="false" customHeight="false" outlineLevel="0" collapsed="false">
      <c r="A993" s="4"/>
      <c r="B993" s="3"/>
      <c r="C993" s="3"/>
    </row>
    <row r="994" customFormat="false" ht="15.75" hidden="false" customHeight="false" outlineLevel="0" collapsed="false">
      <c r="A994" s="4"/>
      <c r="B994" s="3"/>
      <c r="C994" s="3"/>
    </row>
    <row r="995" customFormat="false" ht="15.75" hidden="false" customHeight="false" outlineLevel="0" collapsed="false">
      <c r="A995" s="4"/>
      <c r="B995" s="3"/>
      <c r="C995" s="3"/>
    </row>
    <row r="996" customFormat="false" ht="15.75" hidden="false" customHeight="false" outlineLevel="0" collapsed="false">
      <c r="A996" s="4"/>
      <c r="B996" s="3"/>
      <c r="C996" s="3"/>
    </row>
    <row r="997" customFormat="false" ht="15.75" hidden="false" customHeight="false" outlineLevel="0" collapsed="false">
      <c r="A997" s="4"/>
      <c r="B997" s="3"/>
      <c r="C997" s="3"/>
    </row>
    <row r="998" customFormat="false" ht="15.75" hidden="false" customHeight="false" outlineLevel="0" collapsed="false">
      <c r="A998" s="4"/>
      <c r="B998" s="3"/>
      <c r="C998" s="3"/>
    </row>
    <row r="999" customFormat="false" ht="15.75" hidden="false" customHeight="false" outlineLevel="0" collapsed="false">
      <c r="A999" s="4"/>
      <c r="B999" s="3"/>
      <c r="C999" s="3"/>
    </row>
    <row r="1000" customFormat="false" ht="15.75" hidden="false" customHeight="false" outlineLevel="0" collapsed="false">
      <c r="A1000" s="4"/>
      <c r="B1000" s="3"/>
      <c r="C1000" s="3"/>
    </row>
    <row r="1001" customFormat="false" ht="15.75" hidden="false" customHeight="false" outlineLevel="0" collapsed="false">
      <c r="A1001" s="4"/>
      <c r="B1001" s="3"/>
      <c r="C1001" s="3"/>
    </row>
    <row r="1002" customFormat="false" ht="15.75" hidden="false" customHeight="false" outlineLevel="0" collapsed="false">
      <c r="A1002" s="4"/>
      <c r="B1002" s="3"/>
      <c r="C1002" s="3"/>
    </row>
    <row r="1003" customFormat="false" ht="15.75" hidden="false" customHeight="false" outlineLevel="0" collapsed="false">
      <c r="A1003" s="4"/>
      <c r="B1003" s="3"/>
      <c r="C1003" s="3"/>
    </row>
    <row r="1004" customFormat="false" ht="15.75" hidden="false" customHeight="false" outlineLevel="0" collapsed="false">
      <c r="A1004" s="4"/>
      <c r="B1004" s="3"/>
      <c r="C1004" s="3"/>
    </row>
    <row r="1005" customFormat="false" ht="15.75" hidden="false" customHeight="false" outlineLevel="0" collapsed="false">
      <c r="A1005" s="4"/>
      <c r="B1005" s="3"/>
      <c r="C1005" s="3"/>
    </row>
    <row r="1006" customFormat="false" ht="15.75" hidden="false" customHeight="false" outlineLevel="0" collapsed="false">
      <c r="A1006" s="4"/>
      <c r="B1006" s="3"/>
      <c r="C1006" s="3"/>
    </row>
    <row r="1007" customFormat="false" ht="15.75" hidden="false" customHeight="false" outlineLevel="0" collapsed="false">
      <c r="A1007" s="4"/>
      <c r="B1007" s="3"/>
      <c r="C1007" s="3"/>
    </row>
    <row r="1008" customFormat="false" ht="15.75" hidden="false" customHeight="false" outlineLevel="0" collapsed="false">
      <c r="A1008" s="4"/>
      <c r="B1008" s="3"/>
      <c r="C1008" s="3"/>
    </row>
    <row r="1009" customFormat="false" ht="15.75" hidden="false" customHeight="false" outlineLevel="0" collapsed="false">
      <c r="A1009" s="4"/>
      <c r="B1009" s="3"/>
      <c r="C1009" s="3"/>
    </row>
    <row r="1010" customFormat="false" ht="15.75" hidden="false" customHeight="false" outlineLevel="0" collapsed="false">
      <c r="A1010" s="4"/>
      <c r="B1010" s="3"/>
      <c r="C1010" s="3"/>
    </row>
    <row r="1011" customFormat="false" ht="15.75" hidden="false" customHeight="false" outlineLevel="0" collapsed="false">
      <c r="A1011" s="4"/>
      <c r="B1011" s="3"/>
      <c r="C1011" s="3"/>
    </row>
    <row r="1012" customFormat="false" ht="15.75" hidden="false" customHeight="false" outlineLevel="0" collapsed="false">
      <c r="A1012" s="4"/>
      <c r="B1012" s="3"/>
      <c r="C1012" s="3"/>
    </row>
    <row r="1013" customFormat="false" ht="15.75" hidden="false" customHeight="false" outlineLevel="0" collapsed="false">
      <c r="A1013" s="4"/>
      <c r="B1013" s="3"/>
      <c r="C1013" s="3"/>
    </row>
    <row r="1014" customFormat="false" ht="15.75" hidden="false" customHeight="false" outlineLevel="0" collapsed="false">
      <c r="A1014" s="4"/>
      <c r="B1014" s="3"/>
      <c r="C1014" s="3"/>
    </row>
    <row r="1015" customFormat="false" ht="15.75" hidden="false" customHeight="false" outlineLevel="0" collapsed="false">
      <c r="A1015" s="4"/>
      <c r="B1015" s="3"/>
      <c r="C1015" s="3"/>
    </row>
    <row r="1016" customFormat="false" ht="15.75" hidden="false" customHeight="false" outlineLevel="0" collapsed="false">
      <c r="A1016" s="4"/>
      <c r="B1016" s="3"/>
      <c r="C1016" s="3"/>
    </row>
    <row r="1017" customFormat="false" ht="15.75" hidden="false" customHeight="false" outlineLevel="0" collapsed="false">
      <c r="A1017" s="4"/>
      <c r="B1017" s="3"/>
      <c r="C1017" s="3"/>
    </row>
    <row r="1018" customFormat="false" ht="15.75" hidden="false" customHeight="false" outlineLevel="0" collapsed="false">
      <c r="A1018" s="4"/>
      <c r="B1018" s="3"/>
      <c r="C1018" s="3"/>
    </row>
    <row r="1019" customFormat="false" ht="15.75" hidden="false" customHeight="false" outlineLevel="0" collapsed="false">
      <c r="A1019" s="4"/>
      <c r="B1019" s="3"/>
      <c r="C1019" s="3"/>
    </row>
    <row r="1020" customFormat="false" ht="15.75" hidden="false" customHeight="false" outlineLevel="0" collapsed="false">
      <c r="A1020" s="4"/>
      <c r="B1020" s="3"/>
      <c r="C1020" s="3"/>
    </row>
    <row r="1021" customFormat="false" ht="15.75" hidden="false" customHeight="false" outlineLevel="0" collapsed="false">
      <c r="A1021" s="4"/>
      <c r="B1021" s="3"/>
      <c r="C1021" s="3"/>
    </row>
    <row r="1022" customFormat="false" ht="15.75" hidden="false" customHeight="false" outlineLevel="0" collapsed="false">
      <c r="A1022" s="4"/>
      <c r="B1022" s="3"/>
      <c r="C1022" s="3"/>
    </row>
    <row r="1023" customFormat="false" ht="15.75" hidden="false" customHeight="false" outlineLevel="0" collapsed="false">
      <c r="A1023" s="4"/>
      <c r="B1023" s="3"/>
      <c r="C1023" s="3"/>
    </row>
    <row r="1024" customFormat="false" ht="15.75" hidden="false" customHeight="false" outlineLevel="0" collapsed="false">
      <c r="A1024" s="4"/>
      <c r="B1024" s="3"/>
      <c r="C1024" s="3"/>
    </row>
    <row r="1025" customFormat="false" ht="15.75" hidden="false" customHeight="false" outlineLevel="0" collapsed="false">
      <c r="A1025" s="4"/>
      <c r="B1025" s="3"/>
      <c r="C1025" s="3"/>
    </row>
    <row r="1026" customFormat="false" ht="15.75" hidden="false" customHeight="false" outlineLevel="0" collapsed="false">
      <c r="A1026" s="4"/>
      <c r="B1026" s="3"/>
      <c r="C1026" s="3"/>
    </row>
    <row r="1027" customFormat="false" ht="15.75" hidden="false" customHeight="false" outlineLevel="0" collapsed="false">
      <c r="A1027" s="4"/>
      <c r="B1027" s="3"/>
      <c r="C1027" s="3"/>
    </row>
    <row r="1028" customFormat="false" ht="15.75" hidden="false" customHeight="false" outlineLevel="0" collapsed="false">
      <c r="A1028" s="4"/>
      <c r="B1028" s="3"/>
      <c r="C1028" s="3"/>
    </row>
    <row r="1029" customFormat="false" ht="15.75" hidden="false" customHeight="false" outlineLevel="0" collapsed="false">
      <c r="A1029" s="4"/>
      <c r="B1029" s="3"/>
      <c r="C1029" s="3"/>
    </row>
    <row r="1030" customFormat="false" ht="15.75" hidden="false" customHeight="false" outlineLevel="0" collapsed="false">
      <c r="A1030" s="4"/>
      <c r="B1030" s="3"/>
      <c r="C1030" s="3"/>
    </row>
    <row r="1031" customFormat="false" ht="15.75" hidden="false" customHeight="false" outlineLevel="0" collapsed="false">
      <c r="A1031" s="4"/>
      <c r="B1031" s="3"/>
      <c r="C1031" s="3"/>
    </row>
    <row r="1032" customFormat="false" ht="15.75" hidden="false" customHeight="false" outlineLevel="0" collapsed="false">
      <c r="A1032" s="4"/>
      <c r="B1032" s="3"/>
      <c r="C1032" s="3"/>
    </row>
    <row r="1033" customFormat="false" ht="15.75" hidden="false" customHeight="false" outlineLevel="0" collapsed="false">
      <c r="A1033" s="4"/>
      <c r="B1033" s="3"/>
      <c r="C1033" s="3"/>
    </row>
    <row r="1034" customFormat="false" ht="15.75" hidden="false" customHeight="false" outlineLevel="0" collapsed="false">
      <c r="A1034" s="4"/>
      <c r="B1034" s="3"/>
      <c r="C1034" s="3"/>
    </row>
    <row r="1035" customFormat="false" ht="15.75" hidden="false" customHeight="false" outlineLevel="0" collapsed="false">
      <c r="A1035" s="4"/>
      <c r="B1035" s="3"/>
      <c r="C1035" s="3"/>
    </row>
    <row r="1036" customFormat="false" ht="15.75" hidden="false" customHeight="false" outlineLevel="0" collapsed="false">
      <c r="A1036" s="4"/>
      <c r="B1036" s="3"/>
      <c r="C1036" s="3"/>
    </row>
    <row r="1037" customFormat="false" ht="15.75" hidden="false" customHeight="false" outlineLevel="0" collapsed="false">
      <c r="A1037" s="4"/>
      <c r="B1037" s="3"/>
      <c r="C1037" s="3"/>
    </row>
    <row r="1038" customFormat="false" ht="15.75" hidden="false" customHeight="false" outlineLevel="0" collapsed="false">
      <c r="A1038" s="4"/>
      <c r="B1038" s="3"/>
      <c r="C1038" s="3"/>
    </row>
    <row r="1039" customFormat="false" ht="15.75" hidden="false" customHeight="false" outlineLevel="0" collapsed="false">
      <c r="A1039" s="4"/>
      <c r="B1039" s="3"/>
      <c r="C1039" s="3"/>
    </row>
    <row r="1040" customFormat="false" ht="15.75" hidden="false" customHeight="false" outlineLevel="0" collapsed="false">
      <c r="A1040" s="4"/>
      <c r="B1040" s="3"/>
      <c r="C1040" s="3"/>
    </row>
    <row r="1041" customFormat="false" ht="15.75" hidden="false" customHeight="false" outlineLevel="0" collapsed="false">
      <c r="A1041" s="4"/>
      <c r="B1041" s="3"/>
      <c r="C1041" s="3"/>
    </row>
    <row r="1042" customFormat="false" ht="15.75" hidden="false" customHeight="false" outlineLevel="0" collapsed="false">
      <c r="A1042" s="4"/>
      <c r="B1042" s="3"/>
      <c r="C1042" s="3"/>
    </row>
    <row r="1043" customFormat="false" ht="15.75" hidden="false" customHeight="false" outlineLevel="0" collapsed="false">
      <c r="A1043" s="4"/>
      <c r="B1043" s="3"/>
      <c r="C1043" s="3"/>
    </row>
    <row r="1044" customFormat="false" ht="15.75" hidden="false" customHeight="false" outlineLevel="0" collapsed="false">
      <c r="A1044" s="4"/>
      <c r="B1044" s="3"/>
      <c r="C1044" s="3"/>
    </row>
    <row r="1045" customFormat="false" ht="15.75" hidden="false" customHeight="false" outlineLevel="0" collapsed="false">
      <c r="A1045" s="4"/>
      <c r="B1045" s="3"/>
      <c r="C1045" s="3"/>
    </row>
    <row r="1046" customFormat="false" ht="15.75" hidden="false" customHeight="false" outlineLevel="0" collapsed="false">
      <c r="A1046" s="4"/>
      <c r="B1046" s="3"/>
      <c r="C1046" s="3"/>
    </row>
    <row r="1047" customFormat="false" ht="15.75" hidden="false" customHeight="false" outlineLevel="0" collapsed="false">
      <c r="A1047" s="4"/>
      <c r="B1047" s="3"/>
      <c r="C1047" s="3"/>
    </row>
    <row r="1048" customFormat="false" ht="15.75" hidden="false" customHeight="false" outlineLevel="0" collapsed="false">
      <c r="A1048" s="4"/>
      <c r="B1048" s="3"/>
      <c r="C1048" s="3"/>
    </row>
    <row r="1049" customFormat="false" ht="15.75" hidden="false" customHeight="false" outlineLevel="0" collapsed="false">
      <c r="A1049" s="4"/>
      <c r="B1049" s="3"/>
      <c r="C1049" s="3"/>
    </row>
    <row r="1050" customFormat="false" ht="15.75" hidden="false" customHeight="false" outlineLevel="0" collapsed="false">
      <c r="A1050" s="4"/>
      <c r="B1050" s="3"/>
      <c r="C1050" s="3"/>
    </row>
    <row r="1051" customFormat="false" ht="15.75" hidden="false" customHeight="false" outlineLevel="0" collapsed="false">
      <c r="A1051" s="4"/>
      <c r="B1051" s="3"/>
      <c r="C1051" s="3"/>
    </row>
    <row r="1052" customFormat="false" ht="15.75" hidden="false" customHeight="false" outlineLevel="0" collapsed="false">
      <c r="A1052" s="4"/>
      <c r="B1052" s="3"/>
      <c r="C1052" s="3"/>
    </row>
    <row r="1053" customFormat="false" ht="15.75" hidden="false" customHeight="false" outlineLevel="0" collapsed="false">
      <c r="A1053" s="4"/>
      <c r="B1053" s="3"/>
      <c r="C1053" s="3"/>
    </row>
    <row r="1054" customFormat="false" ht="15.75" hidden="false" customHeight="false" outlineLevel="0" collapsed="false">
      <c r="A1054" s="4"/>
      <c r="B1054" s="3"/>
      <c r="C1054" s="3"/>
    </row>
    <row r="1055" customFormat="false" ht="15.75" hidden="false" customHeight="false" outlineLevel="0" collapsed="false">
      <c r="A1055" s="4"/>
      <c r="B1055" s="3"/>
      <c r="C1055" s="3"/>
    </row>
    <row r="1056" customFormat="false" ht="15.75" hidden="false" customHeight="false" outlineLevel="0" collapsed="false">
      <c r="A1056" s="4"/>
      <c r="B1056" s="3"/>
      <c r="C1056" s="3"/>
    </row>
    <row r="1057" customFormat="false" ht="15.75" hidden="false" customHeight="false" outlineLevel="0" collapsed="false">
      <c r="A1057" s="4"/>
      <c r="B1057" s="3"/>
      <c r="C1057" s="3"/>
    </row>
    <row r="1058" customFormat="false" ht="15.75" hidden="false" customHeight="false" outlineLevel="0" collapsed="false">
      <c r="A1058" s="4"/>
      <c r="B1058" s="3"/>
      <c r="C1058" s="3"/>
    </row>
    <row r="1059" customFormat="false" ht="15.75" hidden="false" customHeight="false" outlineLevel="0" collapsed="false">
      <c r="A1059" s="4"/>
      <c r="B1059" s="3"/>
      <c r="C1059" s="3"/>
    </row>
    <row r="1060" customFormat="false" ht="15.75" hidden="false" customHeight="false" outlineLevel="0" collapsed="false">
      <c r="A1060" s="4"/>
      <c r="B1060" s="3"/>
      <c r="C1060" s="3"/>
    </row>
    <row r="1061" customFormat="false" ht="15.75" hidden="false" customHeight="false" outlineLevel="0" collapsed="false">
      <c r="A1061" s="4"/>
      <c r="B1061" s="3"/>
      <c r="C1061" s="3"/>
    </row>
    <row r="1062" customFormat="false" ht="15.75" hidden="false" customHeight="false" outlineLevel="0" collapsed="false">
      <c r="A1062" s="4"/>
      <c r="B1062" s="3"/>
      <c r="C1062" s="3"/>
    </row>
    <row r="1063" customFormat="false" ht="15.75" hidden="false" customHeight="false" outlineLevel="0" collapsed="false">
      <c r="A1063" s="4"/>
      <c r="B1063" s="3"/>
      <c r="C1063" s="3"/>
    </row>
    <row r="1064" customFormat="false" ht="15.75" hidden="false" customHeight="false" outlineLevel="0" collapsed="false">
      <c r="A1064" s="4"/>
      <c r="B1064" s="3"/>
      <c r="C1064" s="3"/>
    </row>
    <row r="1065" customFormat="false" ht="15.75" hidden="false" customHeight="false" outlineLevel="0" collapsed="false">
      <c r="A1065" s="4"/>
      <c r="B1065" s="3"/>
      <c r="C1065" s="3"/>
    </row>
    <row r="1066" customFormat="false" ht="15.75" hidden="false" customHeight="false" outlineLevel="0" collapsed="false">
      <c r="A1066" s="4"/>
      <c r="B1066" s="3"/>
      <c r="C1066" s="3"/>
    </row>
    <row r="1067" customFormat="false" ht="15.75" hidden="false" customHeight="false" outlineLevel="0" collapsed="false">
      <c r="A1067" s="4"/>
      <c r="B1067" s="3"/>
      <c r="C1067" s="3"/>
    </row>
    <row r="1068" customFormat="false" ht="15.75" hidden="false" customHeight="false" outlineLevel="0" collapsed="false">
      <c r="A1068" s="4"/>
      <c r="B1068" s="3"/>
      <c r="C1068" s="3"/>
    </row>
    <row r="1069" customFormat="false" ht="15.75" hidden="false" customHeight="false" outlineLevel="0" collapsed="false">
      <c r="A1069" s="4"/>
      <c r="B1069" s="3"/>
      <c r="C1069" s="3"/>
    </row>
    <row r="1070" customFormat="false" ht="15.75" hidden="false" customHeight="false" outlineLevel="0" collapsed="false">
      <c r="A1070" s="4"/>
      <c r="B1070" s="3"/>
      <c r="C1070" s="3"/>
    </row>
    <row r="1071" customFormat="false" ht="15.75" hidden="false" customHeight="false" outlineLevel="0" collapsed="false">
      <c r="A1071" s="4"/>
      <c r="B1071" s="3"/>
      <c r="C1071" s="3"/>
    </row>
    <row r="1072" customFormat="false" ht="15.75" hidden="false" customHeight="false" outlineLevel="0" collapsed="false">
      <c r="A1072" s="4"/>
      <c r="B1072" s="3"/>
      <c r="C1072" s="3"/>
    </row>
    <row r="1073" customFormat="false" ht="15.75" hidden="false" customHeight="false" outlineLevel="0" collapsed="false">
      <c r="A1073" s="4"/>
      <c r="B1073" s="3"/>
      <c r="C1073" s="3"/>
    </row>
    <row r="1074" customFormat="false" ht="15.75" hidden="false" customHeight="false" outlineLevel="0" collapsed="false">
      <c r="A1074" s="4"/>
      <c r="B1074" s="3"/>
      <c r="C1074" s="3"/>
    </row>
    <row r="1075" customFormat="false" ht="15.75" hidden="false" customHeight="false" outlineLevel="0" collapsed="false">
      <c r="A1075" s="4"/>
      <c r="B1075" s="3"/>
      <c r="C1075" s="3"/>
    </row>
    <row r="1076" customFormat="false" ht="15.75" hidden="false" customHeight="false" outlineLevel="0" collapsed="false">
      <c r="A1076" s="4"/>
      <c r="B1076" s="3"/>
      <c r="C1076" s="3"/>
    </row>
    <row r="1077" customFormat="false" ht="15.75" hidden="false" customHeight="false" outlineLevel="0" collapsed="false">
      <c r="A1077" s="4"/>
      <c r="B1077" s="3"/>
      <c r="C1077" s="3"/>
    </row>
    <row r="1078" customFormat="false" ht="15.75" hidden="false" customHeight="false" outlineLevel="0" collapsed="false">
      <c r="A1078" s="4"/>
      <c r="B1078" s="3"/>
      <c r="C1078" s="3"/>
    </row>
    <row r="1079" customFormat="false" ht="15.75" hidden="false" customHeight="false" outlineLevel="0" collapsed="false">
      <c r="A1079" s="4"/>
      <c r="B1079" s="3"/>
      <c r="C1079" s="3"/>
    </row>
    <row r="1080" customFormat="false" ht="15.75" hidden="false" customHeight="false" outlineLevel="0" collapsed="false">
      <c r="A1080" s="4"/>
      <c r="B1080" s="3"/>
      <c r="C1080" s="3"/>
    </row>
    <row r="1081" customFormat="false" ht="15.75" hidden="false" customHeight="false" outlineLevel="0" collapsed="false">
      <c r="A1081" s="4"/>
      <c r="B1081" s="3"/>
      <c r="C1081" s="3"/>
    </row>
    <row r="1082" customFormat="false" ht="15.75" hidden="false" customHeight="false" outlineLevel="0" collapsed="false">
      <c r="A1082" s="4"/>
      <c r="B1082" s="3"/>
      <c r="C1082" s="3"/>
    </row>
    <row r="1083" customFormat="false" ht="15.75" hidden="false" customHeight="false" outlineLevel="0" collapsed="false">
      <c r="A1083" s="4"/>
      <c r="B1083" s="3"/>
      <c r="C1083" s="3"/>
    </row>
    <row r="1084" customFormat="false" ht="15.75" hidden="false" customHeight="false" outlineLevel="0" collapsed="false">
      <c r="A1084" s="4"/>
      <c r="B1084" s="3"/>
      <c r="C1084" s="3"/>
    </row>
    <row r="1085" customFormat="false" ht="15.75" hidden="false" customHeight="false" outlineLevel="0" collapsed="false">
      <c r="A1085" s="4"/>
      <c r="B1085" s="3"/>
      <c r="C1085" s="3"/>
    </row>
    <row r="1086" customFormat="false" ht="15.75" hidden="false" customHeight="false" outlineLevel="0" collapsed="false">
      <c r="A1086" s="4"/>
      <c r="B1086" s="3"/>
      <c r="C1086" s="3"/>
    </row>
    <row r="1087" customFormat="false" ht="15.75" hidden="false" customHeight="false" outlineLevel="0" collapsed="false">
      <c r="A1087" s="4"/>
      <c r="B1087" s="3"/>
      <c r="C1087" s="3"/>
    </row>
    <row r="1088" customFormat="false" ht="15.75" hidden="false" customHeight="false" outlineLevel="0" collapsed="false">
      <c r="A1088" s="4"/>
      <c r="B1088" s="3"/>
      <c r="C1088" s="3"/>
    </row>
    <row r="1089" customFormat="false" ht="15.75" hidden="false" customHeight="false" outlineLevel="0" collapsed="false">
      <c r="A1089" s="4"/>
      <c r="B1089" s="3"/>
      <c r="C1089" s="3"/>
    </row>
    <row r="1090" customFormat="false" ht="15.75" hidden="false" customHeight="false" outlineLevel="0" collapsed="false">
      <c r="A1090" s="4"/>
      <c r="B1090" s="3"/>
      <c r="C1090" s="3"/>
    </row>
    <row r="1091" customFormat="false" ht="15.75" hidden="false" customHeight="false" outlineLevel="0" collapsed="false">
      <c r="A1091" s="4"/>
      <c r="B1091" s="3"/>
      <c r="C1091" s="3"/>
    </row>
    <row r="1092" customFormat="false" ht="15.75" hidden="false" customHeight="false" outlineLevel="0" collapsed="false">
      <c r="A1092" s="4"/>
      <c r="B1092" s="3"/>
      <c r="C1092" s="3"/>
    </row>
    <row r="1093" customFormat="false" ht="15.75" hidden="false" customHeight="false" outlineLevel="0" collapsed="false">
      <c r="A1093" s="4"/>
      <c r="B1093" s="3"/>
      <c r="C1093" s="3"/>
    </row>
    <row r="1094" customFormat="false" ht="15.75" hidden="false" customHeight="false" outlineLevel="0" collapsed="false">
      <c r="A1094" s="4"/>
      <c r="B1094" s="3"/>
      <c r="C1094" s="3"/>
    </row>
    <row r="1095" customFormat="false" ht="15.75" hidden="false" customHeight="false" outlineLevel="0" collapsed="false">
      <c r="B1095" s="3"/>
      <c r="C1095" s="3"/>
    </row>
    <row r="1096" customFormat="false" ht="15.75" hidden="false" customHeight="false" outlineLevel="0" collapsed="false">
      <c r="B1096" s="3"/>
      <c r="C1096" s="3"/>
    </row>
  </sheetData>
  <conditionalFormatting sqref="C103">
    <cfRule type="expression" priority="2" aboveAverage="0" equalAverage="0" bottom="0" percent="0" rank="0" text="" dxfId="1">
      <formula>D103="YES"</formula>
    </cfRule>
  </conditionalFormatting>
  <conditionalFormatting sqref="A2:A1094">
    <cfRule type="expression" priority="3" aboveAverage="0" equalAverage="0" bottom="0" percent="0" rank="0" text="" dxfId="2">
      <formula>COUNTIF(B2:C2,A2)=0</formula>
    </cfRule>
  </conditionalFormatting>
  <conditionalFormatting sqref="A202">
    <cfRule type="expression" priority="4" aboveAverage="0" equalAverage="0" bottom="0" percent="0" rank="0" text="" dxfId="1">
      <formula>LEN(TRIM(A202))&gt;0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3.63"/>
    <col collapsed="false" customWidth="true" hidden="false" outlineLevel="0" max="2" min="2" style="0" width="49.25"/>
    <col collapsed="false" customWidth="true" hidden="false" outlineLevel="0" max="3" min="3" style="0" width="48.25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3"/>
      <c r="B2" s="3"/>
      <c r="C2" s="3"/>
      <c r="D2" s="4" t="str">
        <f aca="false">IF(AND(EXACT(B2,C2),NOT(AND(ISBLANK(B2),ISBLANK(C2)))), "Common", "")</f>
        <v/>
      </c>
    </row>
    <row r="3" customFormat="false" ht="15.75" hidden="false" customHeight="false" outlineLevel="0" collapsed="false">
      <c r="A3" s="4"/>
      <c r="D3" s="4" t="str">
        <f aca="false">IF(AND(EXACT(B3,C3),NOT(AND(ISBLANK(B3),ISBLANK(C3)))), "Common", "")</f>
        <v/>
      </c>
    </row>
    <row r="4" customFormat="false" ht="15.75" hidden="false" customHeight="false" outlineLevel="0" collapsed="false">
      <c r="A4" s="4"/>
      <c r="D4" s="4" t="str">
        <f aca="false">IF(AND(EXACT(B4,C4),NOT(AND(ISBLANK(B4),ISBLANK(C4)))), "Common", "")</f>
        <v/>
      </c>
    </row>
    <row r="5" customFormat="false" ht="15.75" hidden="false" customHeight="false" outlineLevel="0" collapsed="false">
      <c r="A5" s="4"/>
      <c r="D5" s="4" t="str">
        <f aca="false">IF(AND(EXACT(B842,C842),NOT(AND(ISBLANK(B842),ISBLANK(C842)))), "Common", "")</f>
        <v>Common</v>
      </c>
    </row>
    <row r="6" customFormat="false" ht="15.75" hidden="false" customHeight="false" outlineLevel="0" collapsed="false">
      <c r="A6" s="4"/>
      <c r="D6" s="4" t="str">
        <f aca="false">IF(AND(EXACT(B843,C843),NOT(AND(ISBLANK(B843),ISBLANK(C843)))), "Common", "")</f>
        <v/>
      </c>
    </row>
    <row r="7" customFormat="false" ht="15.75" hidden="false" customHeight="false" outlineLevel="0" collapsed="false">
      <c r="A7" s="4"/>
      <c r="D7" s="4" t="str">
        <f aca="false">IF(AND(EXACT(B844,C844),NOT(AND(ISBLANK(B844),ISBLANK(C844)))), "Common", "")</f>
        <v/>
      </c>
    </row>
    <row r="8" customFormat="false" ht="15.75" hidden="false" customHeight="false" outlineLevel="0" collapsed="false">
      <c r="A8" s="4"/>
      <c r="D8" s="4" t="str">
        <f aca="false">IF(AND(EXACT(B8,C8),NOT(AND(ISBLANK(B8),ISBLANK(C8)))), "Common", "")</f>
        <v/>
      </c>
    </row>
    <row r="9" customFormat="false" ht="15.75" hidden="false" customHeight="false" outlineLevel="0" collapsed="false">
      <c r="A9" s="3" t="s">
        <v>1747</v>
      </c>
      <c r="B9" s="3" t="s">
        <v>1747</v>
      </c>
      <c r="C9" s="3" t="s">
        <v>1747</v>
      </c>
      <c r="D9" s="4" t="str">
        <f aca="false">IF(AND(EXACT(B9,C9),NOT(AND(ISBLANK(B9),ISBLANK(C9)))), "Common", "")</f>
        <v>Common</v>
      </c>
    </row>
    <row r="10" customFormat="false" ht="15.75" hidden="false" customHeight="false" outlineLevel="0" collapsed="false">
      <c r="A10" s="4"/>
      <c r="D10" s="4" t="str">
        <f aca="false">IF(AND(EXACT(B10,C10),NOT(AND(ISBLANK(B10),ISBLANK(C10)))), "Common", "")</f>
        <v/>
      </c>
    </row>
    <row r="11" customFormat="false" ht="15.75" hidden="false" customHeight="false" outlineLevel="0" collapsed="false">
      <c r="A11" s="3"/>
      <c r="B11" s="3"/>
      <c r="C11" s="3"/>
      <c r="D11" s="4" t="str">
        <f aca="false">IF(AND(EXACT(B11,C11),NOT(AND(ISBLANK(B11),ISBLANK(C11)))), "Common", "")</f>
        <v/>
      </c>
    </row>
    <row r="12" customFormat="false" ht="15.75" hidden="false" customHeight="false" outlineLevel="0" collapsed="false">
      <c r="A12" s="3" t="s">
        <v>2630</v>
      </c>
      <c r="B12" s="3" t="s">
        <v>1740</v>
      </c>
      <c r="C12" s="3" t="s">
        <v>1740</v>
      </c>
      <c r="D12" s="4" t="str">
        <f aca="false">IF(AND(EXACT(B12,C12),NOT(AND(ISBLANK(B12),ISBLANK(C12)))), "Common", "")</f>
        <v>Common</v>
      </c>
    </row>
    <row r="13" customFormat="false" ht="15.75" hidden="false" customHeight="false" outlineLevel="0" collapsed="false">
      <c r="A13" s="3" t="s">
        <v>2631</v>
      </c>
      <c r="B13" s="3" t="s">
        <v>1510</v>
      </c>
      <c r="C13" s="3" t="s">
        <v>1510</v>
      </c>
      <c r="D13" s="4" t="str">
        <f aca="false">IF(AND(EXACT(B13,C13),NOT(AND(ISBLANK(B13),ISBLANK(C13)))), "Common", "")</f>
        <v>Common</v>
      </c>
    </row>
    <row r="14" customFormat="false" ht="15.75" hidden="false" customHeight="false" outlineLevel="0" collapsed="false">
      <c r="A14" s="3" t="s">
        <v>2632</v>
      </c>
      <c r="B14" s="3" t="s">
        <v>2280</v>
      </c>
      <c r="C14" s="3" t="s">
        <v>2280</v>
      </c>
      <c r="D14" s="4" t="str">
        <f aca="false">IF(AND(EXACT(B14,C14),NOT(AND(ISBLANK(B14),ISBLANK(C14)))), "Common", "")</f>
        <v>Common</v>
      </c>
    </row>
    <row r="15" customFormat="false" ht="15.75" hidden="false" customHeight="false" outlineLevel="0" collapsed="false">
      <c r="A15" s="3"/>
      <c r="B15" s="3"/>
      <c r="C15" s="3"/>
      <c r="D15" s="4" t="str">
        <f aca="false">IF(AND(EXACT(B15,C15),NOT(AND(ISBLANK(B15),ISBLANK(C15)))), "Common", "")</f>
        <v/>
      </c>
    </row>
    <row r="16" customFormat="false" ht="15.75" hidden="false" customHeight="false" outlineLevel="0" collapsed="false">
      <c r="A16" s="3"/>
      <c r="D16" s="4" t="str">
        <f aca="false">IF(AND(EXACT(B16,C16),NOT(AND(ISBLANK(B16),ISBLANK(C16)))), "Common", "")</f>
        <v/>
      </c>
    </row>
    <row r="17" customFormat="false" ht="15.75" hidden="false" customHeight="false" outlineLevel="0" collapsed="false">
      <c r="A17" s="3" t="s">
        <v>1887</v>
      </c>
      <c r="B17" s="3" t="s">
        <v>1964</v>
      </c>
      <c r="C17" s="3" t="s">
        <v>1887</v>
      </c>
      <c r="D17" s="4" t="str">
        <f aca="false">IF(AND(EXACT(B17,C17),NOT(AND(ISBLANK(B17),ISBLANK(C17)))), "Common", "")</f>
        <v/>
      </c>
    </row>
    <row r="18" customFormat="false" ht="15.75" hidden="false" customHeight="false" outlineLevel="0" collapsed="false">
      <c r="A18" s="3" t="s">
        <v>1887</v>
      </c>
      <c r="B18" s="3" t="s">
        <v>1903</v>
      </c>
      <c r="C18" s="3" t="s">
        <v>1903</v>
      </c>
      <c r="D18" s="4" t="str">
        <f aca="false">IF(AND(EXACT(B18,C18),NOT(AND(ISBLANK(B18),ISBLANK(C18)))), "Common", "")</f>
        <v>Common</v>
      </c>
    </row>
    <row r="19" customFormat="false" ht="15.75" hidden="false" customHeight="false" outlineLevel="0" collapsed="false">
      <c r="A19" s="3" t="s">
        <v>1887</v>
      </c>
      <c r="B19" s="3" t="s">
        <v>1913</v>
      </c>
      <c r="C19" s="3" t="s">
        <v>1913</v>
      </c>
      <c r="D19" s="4" t="str">
        <f aca="false">IF(AND(EXACT(B19,C19),NOT(AND(ISBLANK(B19),ISBLANK(C19)))), "Common", "")</f>
        <v>Common</v>
      </c>
    </row>
    <row r="20" customFormat="false" ht="15.75" hidden="false" customHeight="false" outlineLevel="0" collapsed="false">
      <c r="A20" s="3" t="s">
        <v>1887</v>
      </c>
      <c r="B20" s="3" t="s">
        <v>1915</v>
      </c>
      <c r="C20" s="3" t="s">
        <v>1915</v>
      </c>
      <c r="D20" s="4" t="str">
        <f aca="false">IF(AND(EXACT(B20,C20),NOT(AND(ISBLANK(B20),ISBLANK(C20)))), "Common", "")</f>
        <v>Common</v>
      </c>
    </row>
    <row r="21" customFormat="false" ht="15.75" hidden="false" customHeight="false" outlineLevel="0" collapsed="false">
      <c r="A21" s="3" t="s">
        <v>1887</v>
      </c>
      <c r="B21" s="3" t="s">
        <v>1916</v>
      </c>
      <c r="C21" s="3" t="s">
        <v>1916</v>
      </c>
      <c r="D21" s="4" t="str">
        <f aca="false">IF(AND(EXACT(B21,C21),NOT(AND(ISBLANK(B21),ISBLANK(C21)))), "Common", "")</f>
        <v>Common</v>
      </c>
    </row>
    <row r="22" customFormat="false" ht="15.75" hidden="false" customHeight="false" outlineLevel="0" collapsed="false">
      <c r="A22" s="3" t="s">
        <v>1887</v>
      </c>
      <c r="B22" s="3" t="s">
        <v>1917</v>
      </c>
      <c r="C22" s="3" t="s">
        <v>1917</v>
      </c>
      <c r="D22" s="4" t="str">
        <f aca="false">IF(AND(EXACT(B22,C22),NOT(AND(ISBLANK(B22),ISBLANK(C22)))), "Common", "")</f>
        <v>Common</v>
      </c>
    </row>
    <row r="23" customFormat="false" ht="15.75" hidden="false" customHeight="false" outlineLevel="0" collapsed="false">
      <c r="A23" s="3" t="s">
        <v>1887</v>
      </c>
      <c r="B23" s="3" t="s">
        <v>1919</v>
      </c>
      <c r="C23" s="3" t="s">
        <v>1919</v>
      </c>
      <c r="D23" s="4" t="str">
        <f aca="false">IF(AND(EXACT(B23,C23),NOT(AND(ISBLANK(B23),ISBLANK(C23)))), "Common", "")</f>
        <v>Common</v>
      </c>
    </row>
    <row r="24" customFormat="false" ht="15.75" hidden="false" customHeight="false" outlineLevel="0" collapsed="false">
      <c r="A24" s="3" t="s">
        <v>1887</v>
      </c>
      <c r="B24" s="3" t="s">
        <v>1920</v>
      </c>
      <c r="C24" s="3" t="s">
        <v>1920</v>
      </c>
      <c r="D24" s="4" t="str">
        <f aca="false">IF(AND(EXACT(B24,C24),NOT(AND(ISBLANK(B24),ISBLANK(C24)))), "Common", "")</f>
        <v>Common</v>
      </c>
    </row>
    <row r="25" customFormat="false" ht="15.75" hidden="false" customHeight="false" outlineLevel="0" collapsed="false">
      <c r="A25" s="3" t="s">
        <v>1887</v>
      </c>
      <c r="B25" s="3" t="s">
        <v>1922</v>
      </c>
      <c r="C25" s="3" t="s">
        <v>1922</v>
      </c>
      <c r="D25" s="4" t="str">
        <f aca="false">IF(AND(EXACT(B25,C25),NOT(AND(ISBLANK(B25),ISBLANK(C25)))), "Common", "")</f>
        <v>Common</v>
      </c>
    </row>
    <row r="26" customFormat="false" ht="15.75" hidden="false" customHeight="false" outlineLevel="0" collapsed="false">
      <c r="A26" s="3" t="s">
        <v>1887</v>
      </c>
      <c r="B26" s="3" t="s">
        <v>1888</v>
      </c>
      <c r="C26" s="3" t="s">
        <v>1888</v>
      </c>
      <c r="D26" s="4" t="str">
        <f aca="false">IF(AND(EXACT(B26,C26),NOT(AND(ISBLANK(B26),ISBLANK(C26)))), "Common", "")</f>
        <v>Common</v>
      </c>
    </row>
    <row r="27" customFormat="false" ht="15.75" hidden="false" customHeight="false" outlineLevel="0" collapsed="false">
      <c r="A27" s="3" t="s">
        <v>1887</v>
      </c>
      <c r="B27" s="3" t="s">
        <v>1890</v>
      </c>
      <c r="C27" s="3" t="s">
        <v>1890</v>
      </c>
      <c r="D27" s="4" t="str">
        <f aca="false">IF(AND(EXACT(B27,C27),NOT(AND(ISBLANK(B27),ISBLANK(C27)))), "Common", "")</f>
        <v>Common</v>
      </c>
    </row>
    <row r="28" customFormat="false" ht="15.75" hidden="false" customHeight="false" outlineLevel="0" collapsed="false">
      <c r="A28" s="3" t="s">
        <v>1887</v>
      </c>
      <c r="B28" s="3" t="s">
        <v>1892</v>
      </c>
      <c r="C28" s="3" t="s">
        <v>1892</v>
      </c>
      <c r="D28" s="4" t="str">
        <f aca="false">IF(AND(EXACT(B28,C28),NOT(AND(ISBLANK(B28),ISBLANK(C28)))), "Common", "")</f>
        <v>Common</v>
      </c>
    </row>
    <row r="29" customFormat="false" ht="15.75" hidden="false" customHeight="false" outlineLevel="0" collapsed="false">
      <c r="A29" s="3" t="s">
        <v>1887</v>
      </c>
      <c r="B29" s="3" t="s">
        <v>1893</v>
      </c>
      <c r="C29" s="3" t="s">
        <v>1893</v>
      </c>
      <c r="D29" s="4" t="str">
        <f aca="false">IF(AND(EXACT(B29,C29),NOT(AND(ISBLANK(B29),ISBLANK(C29)))), "Common", "")</f>
        <v>Common</v>
      </c>
    </row>
    <row r="30" customFormat="false" ht="15.75" hidden="false" customHeight="false" outlineLevel="0" collapsed="false">
      <c r="A30" s="3" t="s">
        <v>1887</v>
      </c>
      <c r="B30" s="3" t="s">
        <v>1894</v>
      </c>
      <c r="C30" s="3" t="s">
        <v>1894</v>
      </c>
      <c r="D30" s="4" t="str">
        <f aca="false">IF(AND(EXACT(B30,C30),NOT(AND(ISBLANK(B30),ISBLANK(C30)))), "Common", "")</f>
        <v>Common</v>
      </c>
    </row>
    <row r="31" customFormat="false" ht="15.75" hidden="false" customHeight="false" outlineLevel="0" collapsed="false">
      <c r="A31" s="3" t="s">
        <v>1887</v>
      </c>
      <c r="B31" s="3" t="s">
        <v>1895</v>
      </c>
      <c r="C31" s="3" t="s">
        <v>1895</v>
      </c>
      <c r="D31" s="4" t="str">
        <f aca="false">IF(AND(EXACT(B31,C31),NOT(AND(ISBLANK(B31),ISBLANK(C31)))), "Common", "")</f>
        <v>Common</v>
      </c>
    </row>
    <row r="32" customFormat="false" ht="15.75" hidden="false" customHeight="false" outlineLevel="0" collapsed="false">
      <c r="A32" s="3" t="s">
        <v>1887</v>
      </c>
      <c r="B32" s="3" t="s">
        <v>1897</v>
      </c>
      <c r="C32" s="3" t="s">
        <v>1897</v>
      </c>
      <c r="D32" s="4" t="str">
        <f aca="false">IF(AND(EXACT(B32,C32),NOT(AND(ISBLANK(B32),ISBLANK(C32)))), "Common", "")</f>
        <v>Common</v>
      </c>
    </row>
    <row r="33" customFormat="false" ht="15.75" hidden="false" customHeight="false" outlineLevel="0" collapsed="false">
      <c r="A33" s="3" t="s">
        <v>1887</v>
      </c>
      <c r="B33" s="3" t="s">
        <v>1898</v>
      </c>
      <c r="C33" s="3" t="s">
        <v>1898</v>
      </c>
      <c r="D33" s="4" t="str">
        <f aca="false">IF(AND(EXACT(B33,C33),NOT(AND(ISBLANK(B33),ISBLANK(C33)))), "Common", "")</f>
        <v>Common</v>
      </c>
    </row>
    <row r="34" customFormat="false" ht="15.75" hidden="false" customHeight="false" outlineLevel="0" collapsed="false">
      <c r="A34" s="3" t="s">
        <v>1887</v>
      </c>
      <c r="B34" s="3" t="s">
        <v>1900</v>
      </c>
      <c r="C34" s="3" t="s">
        <v>1900</v>
      </c>
      <c r="D34" s="4" t="str">
        <f aca="false">IF(AND(EXACT(B34,C34),NOT(AND(ISBLANK(B34),ISBLANK(C34)))), "Common", "")</f>
        <v>Common</v>
      </c>
    </row>
    <row r="35" customFormat="false" ht="15.75" hidden="false" customHeight="false" outlineLevel="0" collapsed="false">
      <c r="A35" s="3" t="s">
        <v>1887</v>
      </c>
      <c r="B35" s="3" t="s">
        <v>1902</v>
      </c>
      <c r="C35" s="3" t="s">
        <v>1902</v>
      </c>
      <c r="D35" s="4" t="str">
        <f aca="false">IF(AND(EXACT(B35,C35),NOT(AND(ISBLANK(B35),ISBLANK(C35)))), "Common", "")</f>
        <v>Common</v>
      </c>
    </row>
    <row r="36" customFormat="false" ht="15.75" hidden="false" customHeight="false" outlineLevel="0" collapsed="false">
      <c r="A36" s="3" t="s">
        <v>1887</v>
      </c>
      <c r="B36" s="3" t="s">
        <v>1904</v>
      </c>
      <c r="C36" s="3" t="s">
        <v>1904</v>
      </c>
      <c r="D36" s="4" t="str">
        <f aca="false">IF(AND(EXACT(B36,C36),NOT(AND(ISBLANK(B36),ISBLANK(C36)))), "Common", "")</f>
        <v>Common</v>
      </c>
    </row>
    <row r="37" customFormat="false" ht="15.75" hidden="false" customHeight="false" outlineLevel="0" collapsed="false">
      <c r="A37" s="3" t="s">
        <v>1887</v>
      </c>
      <c r="B37" s="3" t="s">
        <v>1905</v>
      </c>
      <c r="C37" s="3" t="s">
        <v>1905</v>
      </c>
      <c r="D37" s="4" t="str">
        <f aca="false">IF(AND(EXACT(B37,C37),NOT(AND(ISBLANK(B37),ISBLANK(C37)))), "Common", "")</f>
        <v>Common</v>
      </c>
    </row>
    <row r="38" customFormat="false" ht="15.75" hidden="false" customHeight="false" outlineLevel="0" collapsed="false">
      <c r="A38" s="3" t="s">
        <v>1887</v>
      </c>
      <c r="B38" s="3" t="s">
        <v>1906</v>
      </c>
      <c r="C38" s="3" t="s">
        <v>1906</v>
      </c>
      <c r="D38" s="4" t="str">
        <f aca="false">IF(AND(EXACT(B38,C38),NOT(AND(ISBLANK(B38),ISBLANK(C38)))), "Common", "")</f>
        <v>Common</v>
      </c>
    </row>
    <row r="39" customFormat="false" ht="15.75" hidden="false" customHeight="false" outlineLevel="0" collapsed="false">
      <c r="A39" s="3" t="s">
        <v>1887</v>
      </c>
      <c r="B39" s="3" t="s">
        <v>1907</v>
      </c>
      <c r="C39" s="3" t="s">
        <v>1907</v>
      </c>
      <c r="D39" s="4" t="str">
        <f aca="false">IF(AND(EXACT(B39,C39),NOT(AND(ISBLANK(B39),ISBLANK(C39)))), "Common", "")</f>
        <v>Common</v>
      </c>
    </row>
    <row r="40" customFormat="false" ht="15.75" hidden="false" customHeight="false" outlineLevel="0" collapsed="false">
      <c r="A40" s="3" t="s">
        <v>1887</v>
      </c>
      <c r="B40" s="3" t="s">
        <v>1908</v>
      </c>
      <c r="C40" s="3" t="s">
        <v>1908</v>
      </c>
      <c r="D40" s="4" t="str">
        <f aca="false">IF(AND(EXACT(B40,C40),NOT(AND(ISBLANK(B40),ISBLANK(C40)))), "Common", "")</f>
        <v>Common</v>
      </c>
    </row>
    <row r="41" customFormat="false" ht="15.75" hidden="false" customHeight="false" outlineLevel="0" collapsed="false">
      <c r="A41" s="3" t="s">
        <v>1887</v>
      </c>
      <c r="B41" s="3" t="s">
        <v>1909</v>
      </c>
      <c r="C41" s="3" t="s">
        <v>1909</v>
      </c>
      <c r="D41" s="4" t="str">
        <f aca="false">IF(AND(EXACT(B41,C41),NOT(AND(ISBLANK(B41),ISBLANK(C41)))), "Common", "")</f>
        <v>Common</v>
      </c>
    </row>
    <row r="42" customFormat="false" ht="15.75" hidden="false" customHeight="false" outlineLevel="0" collapsed="false">
      <c r="A42" s="3" t="s">
        <v>1887</v>
      </c>
      <c r="B42" s="3" t="s">
        <v>1911</v>
      </c>
      <c r="C42" s="3" t="s">
        <v>1911</v>
      </c>
      <c r="D42" s="4" t="str">
        <f aca="false">IF(AND(EXACT(B42,C42),NOT(AND(ISBLANK(B42),ISBLANK(C42)))), "Common", "")</f>
        <v>Common</v>
      </c>
    </row>
    <row r="43" customFormat="false" ht="15.75" hidden="false" customHeight="false" outlineLevel="0" collapsed="false">
      <c r="A43" s="3" t="s">
        <v>1887</v>
      </c>
      <c r="B43" s="3" t="s">
        <v>1912</v>
      </c>
      <c r="C43" s="3" t="s">
        <v>1912</v>
      </c>
      <c r="D43" s="4" t="str">
        <f aca="false">IF(AND(EXACT(B43,C43),NOT(AND(ISBLANK(B43),ISBLANK(C43)))), "Common", "")</f>
        <v>Common</v>
      </c>
    </row>
    <row r="44" customFormat="false" ht="15.75" hidden="false" customHeight="false" outlineLevel="0" collapsed="false">
      <c r="A44" s="3" t="s">
        <v>2633</v>
      </c>
      <c r="B44" s="3" t="s">
        <v>2006</v>
      </c>
      <c r="C44" s="3" t="s">
        <v>1924</v>
      </c>
      <c r="D44" s="4" t="str">
        <f aca="false">IF(AND(EXACT(B44,C44),NOT(AND(ISBLANK(B44),ISBLANK(C44)))), "Common", "")</f>
        <v/>
      </c>
    </row>
    <row r="45" customFormat="false" ht="15.75" hidden="false" customHeight="false" outlineLevel="0" collapsed="false">
      <c r="A45" s="3" t="s">
        <v>2633</v>
      </c>
      <c r="B45" s="3" t="s">
        <v>2008</v>
      </c>
      <c r="C45" s="3"/>
      <c r="D45" s="4" t="str">
        <f aca="false">IF(AND(EXACT(B45,C45),NOT(AND(ISBLANK(B45),ISBLANK(C45)))), "Common", "")</f>
        <v/>
      </c>
    </row>
    <row r="46" customFormat="false" ht="15.75" hidden="false" customHeight="false" outlineLevel="0" collapsed="false">
      <c r="A46" s="3" t="s">
        <v>2633</v>
      </c>
      <c r="B46" s="3" t="s">
        <v>2010</v>
      </c>
      <c r="C46" s="3"/>
      <c r="D46" s="4" t="str">
        <f aca="false">IF(AND(EXACT(B46,C46),NOT(AND(ISBLANK(B46),ISBLANK(C46)))), "Common", "")</f>
        <v/>
      </c>
    </row>
    <row r="47" customFormat="false" ht="15.75" hidden="false" customHeight="false" outlineLevel="0" collapsed="false">
      <c r="A47" s="3" t="s">
        <v>1926</v>
      </c>
      <c r="B47" s="3" t="s">
        <v>1992</v>
      </c>
      <c r="C47" s="3" t="s">
        <v>1926</v>
      </c>
      <c r="D47" s="4" t="str">
        <f aca="false">IF(AND(EXACT(B47,C47),NOT(AND(ISBLANK(B47),ISBLANK(C47)))), "Common", "")</f>
        <v/>
      </c>
    </row>
    <row r="48" customFormat="false" ht="15.75" hidden="false" customHeight="false" outlineLevel="0" collapsed="false">
      <c r="A48" s="3" t="s">
        <v>1926</v>
      </c>
      <c r="B48" s="3" t="s">
        <v>1928</v>
      </c>
      <c r="C48" s="3" t="s">
        <v>1928</v>
      </c>
      <c r="D48" s="4" t="str">
        <f aca="false">IF(AND(EXACT(B48,C48),NOT(AND(ISBLANK(B48),ISBLANK(C48)))), "Common", "")</f>
        <v>Common</v>
      </c>
    </row>
    <row r="49" customFormat="false" ht="15.75" hidden="false" customHeight="false" outlineLevel="0" collapsed="false">
      <c r="A49" s="3" t="s">
        <v>1926</v>
      </c>
      <c r="B49" s="3" t="s">
        <v>1929</v>
      </c>
      <c r="C49" s="3" t="s">
        <v>1929</v>
      </c>
      <c r="D49" s="4" t="str">
        <f aca="false">IF(AND(EXACT(B49,C49),NOT(AND(ISBLANK(B49),ISBLANK(C49)))), "Common", "")</f>
        <v>Common</v>
      </c>
    </row>
    <row r="50" customFormat="false" ht="15.75" hidden="false" customHeight="false" outlineLevel="0" collapsed="false">
      <c r="A50" s="3" t="s">
        <v>1926</v>
      </c>
      <c r="B50" s="3" t="s">
        <v>1931</v>
      </c>
      <c r="C50" s="3" t="s">
        <v>1931</v>
      </c>
      <c r="D50" s="4" t="str">
        <f aca="false">IF(AND(EXACT(B50,C50),NOT(AND(ISBLANK(B50),ISBLANK(C50)))), "Common", "")</f>
        <v>Common</v>
      </c>
    </row>
    <row r="51" customFormat="false" ht="15.75" hidden="false" customHeight="false" outlineLevel="0" collapsed="false">
      <c r="A51" s="3" t="s">
        <v>1926</v>
      </c>
      <c r="B51" s="3" t="s">
        <v>1933</v>
      </c>
      <c r="C51" s="3" t="s">
        <v>1933</v>
      </c>
      <c r="D51" s="4" t="str">
        <f aca="false">IF(AND(EXACT(B51,C51),NOT(AND(ISBLANK(B51),ISBLANK(C51)))), "Common", "")</f>
        <v>Common</v>
      </c>
    </row>
    <row r="52" customFormat="false" ht="15.75" hidden="false" customHeight="false" outlineLevel="0" collapsed="false">
      <c r="A52" s="3" t="s">
        <v>1926</v>
      </c>
      <c r="B52" s="3" t="s">
        <v>1935</v>
      </c>
      <c r="C52" s="3" t="s">
        <v>1935</v>
      </c>
      <c r="D52" s="4" t="str">
        <f aca="false">IF(AND(EXACT(B52,C52),NOT(AND(ISBLANK(B52),ISBLANK(C52)))), "Common", "")</f>
        <v>Common</v>
      </c>
    </row>
    <row r="53" customFormat="false" ht="15.75" hidden="false" customHeight="false" outlineLevel="0" collapsed="false">
      <c r="A53" s="3" t="s">
        <v>1926</v>
      </c>
      <c r="B53" s="3" t="s">
        <v>1936</v>
      </c>
      <c r="C53" s="3" t="s">
        <v>1936</v>
      </c>
      <c r="D53" s="4" t="str">
        <f aca="false">IF(AND(EXACT(B53,C53),NOT(AND(ISBLANK(B53),ISBLANK(C53)))), "Common", "")</f>
        <v>Common</v>
      </c>
    </row>
    <row r="54" customFormat="false" ht="15.75" hidden="false" customHeight="false" outlineLevel="0" collapsed="false">
      <c r="A54" s="3" t="s">
        <v>1926</v>
      </c>
      <c r="B54" s="3" t="s">
        <v>1938</v>
      </c>
      <c r="C54" s="3" t="s">
        <v>1938</v>
      </c>
      <c r="D54" s="4" t="str">
        <f aca="false">IF(AND(EXACT(B54,C54),NOT(AND(ISBLANK(B54),ISBLANK(C54)))), "Common", "")</f>
        <v>Common</v>
      </c>
    </row>
    <row r="55" customFormat="false" ht="15.75" hidden="false" customHeight="false" outlineLevel="0" collapsed="false">
      <c r="A55" s="3" t="s">
        <v>1926</v>
      </c>
      <c r="B55" s="3" t="s">
        <v>1940</v>
      </c>
      <c r="C55" s="3" t="s">
        <v>1940</v>
      </c>
      <c r="D55" s="4" t="str">
        <f aca="false">IF(AND(EXACT(B55,C55),NOT(AND(ISBLANK(B55),ISBLANK(C55)))), "Common", "")</f>
        <v>Common</v>
      </c>
    </row>
    <row r="56" customFormat="false" ht="15.75" hidden="false" customHeight="false" outlineLevel="0" collapsed="false">
      <c r="A56" s="3" t="s">
        <v>1926</v>
      </c>
      <c r="B56" s="3" t="s">
        <v>1994</v>
      </c>
      <c r="D56" s="4" t="str">
        <f aca="false">IF(AND(EXACT(B56,C56),NOT(AND(ISBLANK(B56),ISBLANK(C56)))), "Common", "")</f>
        <v/>
      </c>
    </row>
    <row r="57" customFormat="false" ht="15.75" hidden="false" customHeight="false" outlineLevel="0" collapsed="false">
      <c r="A57" s="3" t="s">
        <v>1926</v>
      </c>
      <c r="B57" s="3" t="s">
        <v>1996</v>
      </c>
      <c r="D57" s="4" t="str">
        <f aca="false">IF(AND(EXACT(B57,C57),NOT(AND(ISBLANK(B57),ISBLANK(C57)))), "Common", "")</f>
        <v/>
      </c>
    </row>
    <row r="58" customFormat="false" ht="15.75" hidden="false" customHeight="false" outlineLevel="0" collapsed="false">
      <c r="A58" s="3" t="s">
        <v>2634</v>
      </c>
      <c r="B58" s="3" t="s">
        <v>2012</v>
      </c>
      <c r="D58" s="4" t="str">
        <f aca="false">IF(AND(EXACT(B58,C58),NOT(AND(ISBLANK(B58),ISBLANK(C58)))), "Common", "")</f>
        <v/>
      </c>
    </row>
    <row r="59" customFormat="false" ht="15.75" hidden="false" customHeight="false" outlineLevel="0" collapsed="false">
      <c r="A59" s="3" t="s">
        <v>2635</v>
      </c>
      <c r="B59" s="3" t="s">
        <v>2014</v>
      </c>
      <c r="D59" s="4" t="str">
        <f aca="false">IF(AND(EXACT(B59,C59),NOT(AND(ISBLANK(B59),ISBLANK(C59)))), "Common", "")</f>
        <v/>
      </c>
    </row>
    <row r="60" customFormat="false" ht="15.75" hidden="false" customHeight="false" outlineLevel="0" collapsed="false">
      <c r="A60" s="3" t="s">
        <v>2635</v>
      </c>
      <c r="B60" s="3" t="s">
        <v>2016</v>
      </c>
      <c r="D60" s="4" t="str">
        <f aca="false">IF(AND(EXACT(B60,C60),NOT(AND(ISBLANK(B60),ISBLANK(C60)))), "Common", "")</f>
        <v/>
      </c>
    </row>
    <row r="61" customFormat="false" ht="15.75" hidden="false" customHeight="false" outlineLevel="0" collapsed="false">
      <c r="A61" s="3" t="s">
        <v>2635</v>
      </c>
      <c r="B61" s="3" t="s">
        <v>2018</v>
      </c>
      <c r="D61" s="4" t="str">
        <f aca="false">IF(AND(EXACT(B61,C61),NOT(AND(ISBLANK(B61),ISBLANK(C61)))), "Common", "")</f>
        <v/>
      </c>
    </row>
    <row r="62" customFormat="false" ht="15.75" hidden="false" customHeight="false" outlineLevel="0" collapsed="false">
      <c r="A62" s="3" t="s">
        <v>2635</v>
      </c>
      <c r="B62" s="3" t="s">
        <v>2020</v>
      </c>
      <c r="D62" s="4" t="str">
        <f aca="false">IF(AND(EXACT(B62,C62),NOT(AND(ISBLANK(B62),ISBLANK(C62)))), "Common", "")</f>
        <v/>
      </c>
    </row>
    <row r="63" customFormat="false" ht="15.75" hidden="false" customHeight="false" outlineLevel="0" collapsed="false">
      <c r="A63" s="3"/>
      <c r="B63" s="3"/>
      <c r="C63" s="3"/>
      <c r="D63" s="4" t="str">
        <f aca="false">IF(AND(EXACT(B63,C63),NOT(AND(ISBLANK(B63),ISBLANK(C63)))), "Common", "")</f>
        <v/>
      </c>
    </row>
    <row r="64" customFormat="false" ht="15.75" hidden="false" customHeight="false" outlineLevel="0" collapsed="false">
      <c r="A64" s="4"/>
      <c r="D64" s="4" t="str">
        <f aca="false">IF(AND(EXACT(B64,C64),NOT(AND(ISBLANK(B64),ISBLANK(C64)))), "Common", "")</f>
        <v/>
      </c>
    </row>
    <row r="65" customFormat="false" ht="15.75" hidden="false" customHeight="false" outlineLevel="0" collapsed="false">
      <c r="A65" s="3" t="s">
        <v>2274</v>
      </c>
      <c r="B65" s="3" t="s">
        <v>2274</v>
      </c>
      <c r="C65" s="3" t="s">
        <v>2274</v>
      </c>
      <c r="D65" s="4" t="str">
        <f aca="false">IF(AND(EXACT(B65,C65),NOT(AND(ISBLANK(B65),ISBLANK(C65)))), "Common", "")</f>
        <v>Common</v>
      </c>
    </row>
    <row r="66" customFormat="false" ht="15.75" hidden="false" customHeight="false" outlineLevel="0" collapsed="false">
      <c r="A66" s="3" t="s">
        <v>2274</v>
      </c>
      <c r="B66" s="3" t="s">
        <v>2276</v>
      </c>
      <c r="C66" s="3" t="s">
        <v>2276</v>
      </c>
      <c r="D66" s="4" t="str">
        <f aca="false">IF(AND(EXACT(B66,C66),NOT(AND(ISBLANK(B66),ISBLANK(C66)))), "Common", "")</f>
        <v>Common</v>
      </c>
    </row>
    <row r="67" customFormat="false" ht="15.75" hidden="false" customHeight="false" outlineLevel="0" collapsed="false">
      <c r="A67" s="3" t="s">
        <v>2274</v>
      </c>
      <c r="B67" s="3" t="s">
        <v>2278</v>
      </c>
      <c r="C67" s="3" t="s">
        <v>2278</v>
      </c>
      <c r="D67" s="4" t="str">
        <f aca="false">IF(AND(EXACT(B67,C67),NOT(AND(ISBLANK(B67),ISBLANK(C67)))), "Common", "")</f>
        <v>Common</v>
      </c>
    </row>
    <row r="68" customFormat="false" ht="15.75" hidden="false" customHeight="false" outlineLevel="0" collapsed="false">
      <c r="A68" s="3" t="s">
        <v>2274</v>
      </c>
      <c r="C68" s="3" t="s">
        <v>2460</v>
      </c>
      <c r="D68" s="4" t="str">
        <f aca="false">IF(AND(EXACT(B68,C68),NOT(AND(ISBLANK(B68),ISBLANK(C68)))), "Common", "")</f>
        <v/>
      </c>
    </row>
    <row r="69" customFormat="false" ht="15.75" hidden="false" customHeight="false" outlineLevel="0" collapsed="false">
      <c r="A69" s="3" t="s">
        <v>2274</v>
      </c>
      <c r="C69" s="3" t="s">
        <v>2462</v>
      </c>
      <c r="D69" s="4" t="str">
        <f aca="false">IF(AND(EXACT(B69,C69),NOT(AND(ISBLANK(B69),ISBLANK(C69)))), "Common", "")</f>
        <v/>
      </c>
    </row>
    <row r="70" customFormat="false" ht="15.75" hidden="false" customHeight="false" outlineLevel="0" collapsed="false">
      <c r="A70" s="4"/>
      <c r="D70" s="4" t="str">
        <f aca="false">IF(AND(EXACT(B70,C70),NOT(AND(ISBLANK(B70),ISBLANK(C70)))), "Common", "")</f>
        <v/>
      </c>
    </row>
    <row r="71" customFormat="false" ht="15.75" hidden="false" customHeight="false" outlineLevel="0" collapsed="false">
      <c r="A71" s="4"/>
      <c r="D71" s="4" t="str">
        <f aca="false">IF(AND(EXACT(B71,C71),NOT(AND(ISBLANK(B71),ISBLANK(C71)))), "Common", "")</f>
        <v/>
      </c>
    </row>
    <row r="72" customFormat="false" ht="15.75" hidden="false" customHeight="false" outlineLevel="0" collapsed="false">
      <c r="A72" s="4"/>
      <c r="D72" s="4" t="str">
        <f aca="false">IF(AND(EXACT(B72,C72),NOT(AND(ISBLANK(B72),ISBLANK(C72)))), "Common", "")</f>
        <v/>
      </c>
    </row>
    <row r="73" customFormat="false" ht="15.75" hidden="false" customHeight="false" outlineLevel="0" collapsed="false">
      <c r="A73" s="4"/>
      <c r="D73" s="4" t="str">
        <f aca="false">IF(AND(EXACT(B73,C73),NOT(AND(ISBLANK(B73),ISBLANK(C73)))), "Common", "")</f>
        <v/>
      </c>
    </row>
    <row r="74" customFormat="false" ht="15.75" hidden="false" customHeight="false" outlineLevel="0" collapsed="false">
      <c r="A74" s="4"/>
      <c r="D74" s="4" t="str">
        <f aca="false">IF(AND(EXACT(B74,C74),NOT(AND(ISBLANK(B74),ISBLANK(C74)))), "Common", "")</f>
        <v/>
      </c>
    </row>
    <row r="75" customFormat="false" ht="15.75" hidden="false" customHeight="false" outlineLevel="0" collapsed="false">
      <c r="A75" s="4"/>
      <c r="D75" s="4" t="str">
        <f aca="false">IF(AND(EXACT(B75,C75),NOT(AND(ISBLANK(B75),ISBLANK(C75)))), "Common", "")</f>
        <v/>
      </c>
    </row>
    <row r="76" customFormat="false" ht="15.75" hidden="false" customHeight="false" outlineLevel="0" collapsed="false">
      <c r="A76" s="3" t="s">
        <v>2523</v>
      </c>
      <c r="B76" s="3" t="s">
        <v>2523</v>
      </c>
      <c r="C76" s="3" t="s">
        <v>2523</v>
      </c>
      <c r="D76" s="4" t="str">
        <f aca="false">IF(AND(EXACT(B76,C76),NOT(AND(ISBLANK(B76),ISBLANK(C76)))), "Common", "")</f>
        <v>Common</v>
      </c>
    </row>
    <row r="77" customFormat="false" ht="15.75" hidden="false" customHeight="false" outlineLevel="0" collapsed="false">
      <c r="A77" s="3" t="s">
        <v>2524</v>
      </c>
      <c r="B77" s="3" t="s">
        <v>2524</v>
      </c>
      <c r="C77" s="3" t="s">
        <v>2524</v>
      </c>
      <c r="D77" s="4" t="str">
        <f aca="false">IF(AND(EXACT(B77,C77),NOT(AND(ISBLANK(B77),ISBLANK(C77)))), "Common", "")</f>
        <v>Common</v>
      </c>
    </row>
    <row r="78" customFormat="false" ht="15.75" hidden="false" customHeight="false" outlineLevel="0" collapsed="false">
      <c r="A78" s="3" t="s">
        <v>2524</v>
      </c>
      <c r="B78" s="3"/>
      <c r="C78" s="3" t="s">
        <v>2613</v>
      </c>
      <c r="D78" s="4" t="str">
        <f aca="false">IF(AND(EXACT(B78,C78),NOT(AND(ISBLANK(B78),ISBLANK(C78)))), "Common", "")</f>
        <v/>
      </c>
    </row>
    <row r="79" customFormat="false" ht="15.75" hidden="false" customHeight="false" outlineLevel="0" collapsed="false">
      <c r="A79" s="3"/>
      <c r="D79" s="4" t="str">
        <f aca="false">IF(AND(EXACT(B79,C79),NOT(AND(ISBLANK(B79),ISBLANK(C79)))), "Common", "")</f>
        <v/>
      </c>
    </row>
    <row r="80" customFormat="false" ht="15.75" hidden="false" customHeight="false" outlineLevel="0" collapsed="false">
      <c r="A80" s="3"/>
      <c r="D80" s="4" t="str">
        <f aca="false">IF(AND(EXACT(B80,C80),NOT(AND(ISBLANK(B80),ISBLANK(C80)))), "Common", "")</f>
        <v/>
      </c>
    </row>
    <row r="81" customFormat="false" ht="15.75" hidden="false" customHeight="false" outlineLevel="0" collapsed="false">
      <c r="A81" s="4"/>
      <c r="C81" s="3"/>
      <c r="D81" s="4" t="str">
        <f aca="false">IF(AND(EXACT(B81,C81),NOT(AND(ISBLANK(B81),ISBLANK(C81)))), "Common", "")</f>
        <v/>
      </c>
    </row>
    <row r="82" customFormat="false" ht="15.75" hidden="false" customHeight="false" outlineLevel="0" collapsed="false">
      <c r="A82" s="4"/>
      <c r="C82" s="3"/>
      <c r="D82" s="4" t="str">
        <f aca="false">IF(AND(EXACT(B82,C82),NOT(AND(ISBLANK(B82),ISBLANK(C82)))), "Common", "")</f>
        <v/>
      </c>
    </row>
    <row r="83" customFormat="false" ht="15.75" hidden="false" customHeight="false" outlineLevel="0" collapsed="false">
      <c r="A83" s="4"/>
      <c r="C83" s="3"/>
      <c r="D83" s="4" t="str">
        <f aca="false">IF(AND(EXACT(B83,C83),NOT(AND(ISBLANK(B83),ISBLANK(C83)))), "Common", "")</f>
        <v/>
      </c>
    </row>
    <row r="84" customFormat="false" ht="15.75" hidden="false" customHeight="false" outlineLevel="0" collapsed="false">
      <c r="A84" s="4"/>
      <c r="C84" s="3"/>
      <c r="D84" s="4" t="str">
        <f aca="false">IF(AND(EXACT(B84,C84),NOT(AND(ISBLANK(B84),ISBLANK(C84)))), "Common", "")</f>
        <v/>
      </c>
    </row>
    <row r="85" customFormat="false" ht="15.75" hidden="false" customHeight="false" outlineLevel="0" collapsed="false">
      <c r="A85" s="4"/>
      <c r="C85" s="3"/>
      <c r="D85" s="4" t="str">
        <f aca="false">IF(AND(EXACT(B85,C85),NOT(AND(ISBLANK(B85),ISBLANK(C85)))), "Common", "")</f>
        <v/>
      </c>
    </row>
    <row r="86" customFormat="false" ht="15.75" hidden="false" customHeight="false" outlineLevel="0" collapsed="false">
      <c r="A86" s="4"/>
      <c r="D86" s="4" t="str">
        <f aca="false">IF(AND(EXACT(B86,C86),NOT(AND(ISBLANK(B86),ISBLANK(C86)))), "Common", "")</f>
        <v/>
      </c>
    </row>
    <row r="87" customFormat="false" ht="15.75" hidden="false" customHeight="false" outlineLevel="0" collapsed="false">
      <c r="A87" s="4"/>
      <c r="D87" s="4" t="str">
        <f aca="false">IF(AND(EXACT(B87,C87),NOT(AND(ISBLANK(B87),ISBLANK(C87)))), "Common", "")</f>
        <v/>
      </c>
    </row>
    <row r="88" customFormat="false" ht="15.75" hidden="false" customHeight="false" outlineLevel="0" collapsed="false">
      <c r="A88" s="4"/>
      <c r="D88" s="4" t="str">
        <f aca="false">IF(AND(EXACT(B88,C88),NOT(AND(ISBLANK(B88),ISBLANK(C88)))), "Common", "")</f>
        <v/>
      </c>
    </row>
    <row r="89" customFormat="false" ht="15.75" hidden="false" customHeight="false" outlineLevel="0" collapsed="false">
      <c r="A89" s="10" t="s">
        <v>2636</v>
      </c>
      <c r="B89" s="3" t="s">
        <v>1561</v>
      </c>
      <c r="C89" s="3" t="s">
        <v>2135</v>
      </c>
      <c r="D89" s="4" t="str">
        <f aca="false">IF(AND(EXACT(B89,C89),NOT(AND(ISBLANK(B89),ISBLANK(C89)))), "Common", "")</f>
        <v/>
      </c>
    </row>
    <row r="90" customFormat="false" ht="15.75" hidden="false" customHeight="false" outlineLevel="0" collapsed="false">
      <c r="A90" s="10" t="s">
        <v>2636</v>
      </c>
      <c r="B90" s="3" t="s">
        <v>1583</v>
      </c>
      <c r="C90" s="3" t="s">
        <v>2165</v>
      </c>
      <c r="D90" s="4" t="str">
        <f aca="false">IF(AND(EXACT(B90,C90),NOT(AND(ISBLANK(B90),ISBLANK(C90)))), "Common", "")</f>
        <v/>
      </c>
    </row>
    <row r="91" customFormat="false" ht="15.75" hidden="false" customHeight="false" outlineLevel="0" collapsed="false">
      <c r="A91" s="10" t="s">
        <v>2636</v>
      </c>
      <c r="B91" s="3" t="s">
        <v>1605</v>
      </c>
      <c r="C91" s="3" t="s">
        <v>2197</v>
      </c>
      <c r="D91" s="4" t="str">
        <f aca="false">IF(AND(EXACT(B91,C91),NOT(AND(ISBLANK(B91),ISBLANK(C91)))), "Common", "")</f>
        <v/>
      </c>
    </row>
    <row r="92" customFormat="false" ht="15.75" hidden="false" customHeight="false" outlineLevel="0" collapsed="false">
      <c r="A92" s="10" t="s">
        <v>2636</v>
      </c>
      <c r="B92" s="3" t="s">
        <v>1621</v>
      </c>
      <c r="C92" s="3" t="s">
        <v>2223</v>
      </c>
      <c r="D92" s="4" t="str">
        <f aca="false">IF(AND(EXACT(B92,C92),NOT(AND(ISBLANK(B92),ISBLANK(C92)))), "Common", "")</f>
        <v/>
      </c>
    </row>
    <row r="93" customFormat="false" ht="15.75" hidden="false" customHeight="false" outlineLevel="0" collapsed="false">
      <c r="A93" s="10" t="s">
        <v>2636</v>
      </c>
      <c r="B93" s="3" t="s">
        <v>1623</v>
      </c>
      <c r="C93" s="3" t="s">
        <v>2231</v>
      </c>
      <c r="D93" s="4" t="str">
        <f aca="false">IF(AND(EXACT(B93,C93),NOT(AND(ISBLANK(B93),ISBLANK(C93)))), "Common", "")</f>
        <v/>
      </c>
    </row>
    <row r="94" customFormat="false" ht="15.75" hidden="false" customHeight="false" outlineLevel="0" collapsed="false">
      <c r="A94" s="10" t="s">
        <v>2636</v>
      </c>
      <c r="B94" s="3" t="s">
        <v>1625</v>
      </c>
      <c r="C94" s="3" t="s">
        <v>2235</v>
      </c>
      <c r="D94" s="4" t="str">
        <f aca="false">IF(AND(EXACT(B94,C94),NOT(AND(ISBLANK(B94),ISBLANK(C94)))), "Common", "")</f>
        <v/>
      </c>
    </row>
    <row r="95" customFormat="false" ht="15.75" hidden="false" customHeight="false" outlineLevel="0" collapsed="false">
      <c r="A95" s="10" t="s">
        <v>2636</v>
      </c>
      <c r="B95" s="3" t="s">
        <v>1627</v>
      </c>
      <c r="C95" s="3" t="s">
        <v>2239</v>
      </c>
      <c r="D95" s="4" t="str">
        <f aca="false">IF(AND(EXACT(B95,C95),NOT(AND(ISBLANK(B95),ISBLANK(C95)))), "Common", "")</f>
        <v/>
      </c>
    </row>
    <row r="96" customFormat="false" ht="15.75" hidden="false" customHeight="false" outlineLevel="0" collapsed="false">
      <c r="A96" s="10" t="s">
        <v>2636</v>
      </c>
      <c r="B96" s="3" t="s">
        <v>1629</v>
      </c>
      <c r="C96" s="3" t="s">
        <v>2243</v>
      </c>
      <c r="D96" s="4" t="str">
        <f aca="false">IF(AND(EXACT(B96,C96),NOT(AND(ISBLANK(B96),ISBLANK(C96)))), "Common", "")</f>
        <v/>
      </c>
    </row>
    <row r="97" customFormat="false" ht="15.75" hidden="false" customHeight="false" outlineLevel="0" collapsed="false">
      <c r="A97" s="10" t="s">
        <v>2636</v>
      </c>
      <c r="B97" s="3" t="s">
        <v>1631</v>
      </c>
      <c r="C97" s="3" t="s">
        <v>2247</v>
      </c>
      <c r="D97" s="4" t="str">
        <f aca="false">IF(AND(EXACT(B97,C97),NOT(AND(ISBLANK(B97),ISBLANK(C97)))), "Common", "")</f>
        <v/>
      </c>
    </row>
    <row r="98" customFormat="false" ht="15.75" hidden="false" customHeight="false" outlineLevel="0" collapsed="false">
      <c r="A98" s="10" t="s">
        <v>2636</v>
      </c>
      <c r="B98" s="3" t="s">
        <v>1563</v>
      </c>
      <c r="C98" s="3" t="s">
        <v>2137</v>
      </c>
      <c r="D98" s="4" t="str">
        <f aca="false">IF(AND(EXACT(B98,C98),NOT(AND(ISBLANK(B98),ISBLANK(C98)))), "Common", "")</f>
        <v/>
      </c>
    </row>
    <row r="99" customFormat="false" ht="15.75" hidden="false" customHeight="false" outlineLevel="0" collapsed="false">
      <c r="A99" s="10" t="s">
        <v>2636</v>
      </c>
      <c r="B99" s="3" t="s">
        <v>1565</v>
      </c>
      <c r="C99" s="3" t="s">
        <v>2141</v>
      </c>
      <c r="D99" s="4" t="str">
        <f aca="false">IF(AND(EXACT(B99,C99),NOT(AND(ISBLANK(B99),ISBLANK(C99)))), "Common", "")</f>
        <v/>
      </c>
    </row>
    <row r="100" customFormat="false" ht="15.75" hidden="false" customHeight="false" outlineLevel="0" collapsed="false">
      <c r="A100" s="10" t="s">
        <v>2636</v>
      </c>
      <c r="B100" s="3" t="s">
        <v>1567</v>
      </c>
      <c r="C100" s="3" t="s">
        <v>2144</v>
      </c>
      <c r="D100" s="4" t="str">
        <f aca="false">IF(AND(EXACT(B100,C100),NOT(AND(ISBLANK(B100),ISBLANK(C100)))), "Common", "")</f>
        <v/>
      </c>
    </row>
    <row r="101" customFormat="false" ht="15.75" hidden="false" customHeight="false" outlineLevel="0" collapsed="false">
      <c r="A101" s="10" t="s">
        <v>2636</v>
      </c>
      <c r="B101" s="3" t="s">
        <v>1569</v>
      </c>
      <c r="C101" s="3" t="s">
        <v>2147</v>
      </c>
      <c r="D101" s="4" t="str">
        <f aca="false">IF(AND(EXACT(B101,C101),NOT(AND(ISBLANK(B101),ISBLANK(C101)))), "Common", "")</f>
        <v/>
      </c>
    </row>
    <row r="102" customFormat="false" ht="15.75" hidden="false" customHeight="false" outlineLevel="0" collapsed="false">
      <c r="A102" s="10" t="s">
        <v>2636</v>
      </c>
      <c r="B102" s="3" t="s">
        <v>1571</v>
      </c>
      <c r="C102" s="3" t="s">
        <v>2151</v>
      </c>
      <c r="D102" s="4" t="str">
        <f aca="false">IF(AND(EXACT(B102,C102),NOT(AND(ISBLANK(B102),ISBLANK(C102)))), "Common", "")</f>
        <v/>
      </c>
    </row>
    <row r="103" customFormat="false" ht="15.75" hidden="false" customHeight="false" outlineLevel="0" collapsed="false">
      <c r="A103" s="10" t="s">
        <v>2636</v>
      </c>
      <c r="B103" s="3" t="s">
        <v>1573</v>
      </c>
      <c r="D103" s="4" t="str">
        <f aca="false">IF(AND(EXACT(B103,C103),NOT(AND(ISBLANK(B103),ISBLANK(C103)))), "Common", "")</f>
        <v/>
      </c>
    </row>
    <row r="104" customFormat="false" ht="15.75" hidden="false" customHeight="false" outlineLevel="0" collapsed="false">
      <c r="A104" s="10" t="s">
        <v>2636</v>
      </c>
      <c r="B104" s="3" t="s">
        <v>1575</v>
      </c>
      <c r="C104" s="3" t="s">
        <v>2154</v>
      </c>
      <c r="D104" s="4" t="str">
        <f aca="false">IF(AND(EXACT(B104,C104),NOT(AND(ISBLANK(B104),ISBLANK(C104)))), "Common", "")</f>
        <v/>
      </c>
    </row>
    <row r="105" customFormat="false" ht="15.75" hidden="false" customHeight="false" outlineLevel="0" collapsed="false">
      <c r="A105" s="10" t="s">
        <v>2636</v>
      </c>
      <c r="B105" s="3" t="s">
        <v>1577</v>
      </c>
      <c r="C105" s="3" t="s">
        <v>2157</v>
      </c>
      <c r="D105" s="4" t="str">
        <f aca="false">IF(AND(EXACT(B105,C105),NOT(AND(ISBLANK(B105),ISBLANK(C105)))), "Common", "")</f>
        <v/>
      </c>
    </row>
    <row r="106" customFormat="false" ht="15.75" hidden="false" customHeight="false" outlineLevel="0" collapsed="false">
      <c r="A106" s="10" t="s">
        <v>2636</v>
      </c>
      <c r="B106" s="3" t="s">
        <v>1579</v>
      </c>
      <c r="C106" s="3" t="s">
        <v>2160</v>
      </c>
      <c r="D106" s="4" t="str">
        <f aca="false">IF(AND(EXACT(B106,C106),NOT(AND(ISBLANK(B106),ISBLANK(C106)))), "Common", "")</f>
        <v/>
      </c>
    </row>
    <row r="107" customFormat="false" ht="15.75" hidden="false" customHeight="false" outlineLevel="0" collapsed="false">
      <c r="A107" s="10" t="s">
        <v>2636</v>
      </c>
      <c r="B107" s="3" t="s">
        <v>1581</v>
      </c>
      <c r="C107" s="3" t="s">
        <v>2162</v>
      </c>
      <c r="D107" s="4" t="str">
        <f aca="false">IF(AND(EXACT(B107,C107),NOT(AND(ISBLANK(B107),ISBLANK(C107)))), "Common", "")</f>
        <v/>
      </c>
    </row>
    <row r="108" customFormat="false" ht="15.75" hidden="false" customHeight="false" outlineLevel="0" collapsed="false">
      <c r="A108" s="10" t="s">
        <v>2636</v>
      </c>
      <c r="B108" s="3" t="s">
        <v>1585</v>
      </c>
      <c r="C108" s="3" t="s">
        <v>2167</v>
      </c>
      <c r="D108" s="4" t="str">
        <f aca="false">IF(AND(EXACT(B108,C108),NOT(AND(ISBLANK(B108),ISBLANK(C108)))), "Common", "")</f>
        <v/>
      </c>
    </row>
    <row r="109" customFormat="false" ht="15.75" hidden="false" customHeight="false" outlineLevel="0" collapsed="false">
      <c r="A109" s="10" t="s">
        <v>2636</v>
      </c>
      <c r="B109" s="3" t="s">
        <v>1587</v>
      </c>
      <c r="C109" s="3" t="s">
        <v>2171</v>
      </c>
      <c r="D109" s="4" t="str">
        <f aca="false">IF(AND(EXACT(B109,C109),NOT(AND(ISBLANK(B109),ISBLANK(C109)))), "Common", "")</f>
        <v/>
      </c>
    </row>
    <row r="110" customFormat="false" ht="15.75" hidden="false" customHeight="false" outlineLevel="0" collapsed="false">
      <c r="A110" s="10" t="s">
        <v>2636</v>
      </c>
      <c r="B110" s="3" t="s">
        <v>1589</v>
      </c>
      <c r="C110" s="3" t="s">
        <v>2172</v>
      </c>
      <c r="D110" s="4" t="str">
        <f aca="false">IF(AND(EXACT(B110,C110),NOT(AND(ISBLANK(B110),ISBLANK(C110)))), "Common", "")</f>
        <v/>
      </c>
    </row>
    <row r="111" customFormat="false" ht="15.75" hidden="false" customHeight="false" outlineLevel="0" collapsed="false">
      <c r="A111" s="10" t="s">
        <v>2636</v>
      </c>
      <c r="B111" s="3" t="s">
        <v>1591</v>
      </c>
      <c r="C111" s="3" t="s">
        <v>2175</v>
      </c>
      <c r="D111" s="4" t="str">
        <f aca="false">IF(AND(EXACT(B111,C111),NOT(AND(ISBLANK(B111),ISBLANK(C111)))), "Common", "")</f>
        <v/>
      </c>
    </row>
    <row r="112" customFormat="false" ht="15.75" hidden="false" customHeight="false" outlineLevel="0" collapsed="false">
      <c r="A112" s="10" t="s">
        <v>2636</v>
      </c>
      <c r="B112" s="3" t="s">
        <v>1593</v>
      </c>
      <c r="C112" s="3" t="s">
        <v>2179</v>
      </c>
      <c r="D112" s="4" t="str">
        <f aca="false">IF(AND(EXACT(B112,C112),NOT(AND(ISBLANK(B112),ISBLANK(C112)))), "Common", "")</f>
        <v/>
      </c>
    </row>
    <row r="113" customFormat="false" ht="15.75" hidden="false" customHeight="false" outlineLevel="0" collapsed="false">
      <c r="A113" s="10" t="s">
        <v>2636</v>
      </c>
      <c r="B113" s="3" t="s">
        <v>1595</v>
      </c>
      <c r="C113" s="3" t="s">
        <v>2182</v>
      </c>
      <c r="D113" s="4" t="str">
        <f aca="false">IF(AND(EXACT(B113,C113),NOT(AND(ISBLANK(B113),ISBLANK(C113)))), "Common", "")</f>
        <v/>
      </c>
    </row>
    <row r="114" customFormat="false" ht="15.75" hidden="false" customHeight="false" outlineLevel="0" collapsed="false">
      <c r="A114" s="10" t="s">
        <v>2636</v>
      </c>
      <c r="B114" s="3" t="s">
        <v>1597</v>
      </c>
      <c r="C114" s="3" t="s">
        <v>2184</v>
      </c>
      <c r="D114" s="4" t="str">
        <f aca="false">IF(AND(EXACT(B114,C114),NOT(AND(ISBLANK(B114),ISBLANK(C114)))), "Common", "")</f>
        <v/>
      </c>
    </row>
    <row r="115" customFormat="false" ht="15.75" hidden="false" customHeight="false" outlineLevel="0" collapsed="false">
      <c r="A115" s="10" t="s">
        <v>2636</v>
      </c>
      <c r="B115" s="3" t="s">
        <v>1599</v>
      </c>
      <c r="C115" s="3" t="s">
        <v>2186</v>
      </c>
      <c r="D115" s="4" t="str">
        <f aca="false">IF(AND(EXACT(B115,C115),NOT(AND(ISBLANK(B115),ISBLANK(C115)))), "Common", "")</f>
        <v/>
      </c>
    </row>
    <row r="116" customFormat="false" ht="15.75" hidden="false" customHeight="false" outlineLevel="0" collapsed="false">
      <c r="A116" s="10" t="s">
        <v>2636</v>
      </c>
      <c r="B116" s="3" t="s">
        <v>1601</v>
      </c>
      <c r="C116" s="3" t="s">
        <v>2190</v>
      </c>
      <c r="D116" s="4" t="str">
        <f aca="false">IF(AND(EXACT(B116,C116),NOT(AND(ISBLANK(B116),ISBLANK(C116)))), "Common", "")</f>
        <v/>
      </c>
    </row>
    <row r="117" customFormat="false" ht="15.75" hidden="false" customHeight="false" outlineLevel="0" collapsed="false">
      <c r="A117" s="10" t="s">
        <v>2636</v>
      </c>
      <c r="B117" s="3" t="s">
        <v>1603</v>
      </c>
      <c r="C117" s="3" t="s">
        <v>2194</v>
      </c>
      <c r="D117" s="4" t="str">
        <f aca="false">IF(AND(EXACT(B117,C117),NOT(AND(ISBLANK(B117),ISBLANK(C117)))), "Common", "")</f>
        <v/>
      </c>
    </row>
    <row r="118" customFormat="false" ht="15.75" hidden="false" customHeight="false" outlineLevel="0" collapsed="false">
      <c r="A118" s="10" t="s">
        <v>2636</v>
      </c>
      <c r="B118" s="3" t="s">
        <v>1607</v>
      </c>
      <c r="D118" s="4" t="str">
        <f aca="false">IF(AND(EXACT(B118,C118),NOT(AND(ISBLANK(B118),ISBLANK(C118)))), "Common", "")</f>
        <v/>
      </c>
    </row>
    <row r="119" customFormat="false" ht="15.75" hidden="false" customHeight="false" outlineLevel="0" collapsed="false">
      <c r="A119" s="10" t="s">
        <v>2636</v>
      </c>
      <c r="B119" s="3" t="s">
        <v>1609</v>
      </c>
      <c r="C119" s="3" t="s">
        <v>2201</v>
      </c>
      <c r="D119" s="4" t="str">
        <f aca="false">IF(AND(EXACT(B119,C119),NOT(AND(ISBLANK(B119),ISBLANK(C119)))), "Common", "")</f>
        <v/>
      </c>
    </row>
    <row r="120" customFormat="false" ht="15.75" hidden="false" customHeight="false" outlineLevel="0" collapsed="false">
      <c r="A120" s="10" t="s">
        <v>2636</v>
      </c>
      <c r="B120" s="3" t="s">
        <v>1611</v>
      </c>
      <c r="C120" s="3" t="s">
        <v>2205</v>
      </c>
      <c r="D120" s="4" t="str">
        <f aca="false">IF(AND(EXACT(B120,C120),NOT(AND(ISBLANK(B120),ISBLANK(C120)))), "Common", "")</f>
        <v/>
      </c>
    </row>
    <row r="121" customFormat="false" ht="15.75" hidden="false" customHeight="false" outlineLevel="0" collapsed="false">
      <c r="A121" s="10" t="s">
        <v>2636</v>
      </c>
      <c r="B121" s="3" t="s">
        <v>1613</v>
      </c>
      <c r="C121" s="3" t="s">
        <v>2207</v>
      </c>
      <c r="D121" s="4" t="str">
        <f aca="false">IF(AND(EXACT(B121,C121),NOT(AND(ISBLANK(B121),ISBLANK(C121)))), "Common", "")</f>
        <v/>
      </c>
    </row>
    <row r="122" customFormat="false" ht="15.75" hidden="false" customHeight="false" outlineLevel="0" collapsed="false">
      <c r="A122" s="10" t="s">
        <v>2636</v>
      </c>
      <c r="B122" s="3" t="s">
        <v>1615</v>
      </c>
      <c r="C122" s="3" t="s">
        <v>2209</v>
      </c>
      <c r="D122" s="4" t="str">
        <f aca="false">IF(AND(EXACT(B122,C122),NOT(AND(ISBLANK(B122),ISBLANK(C122)))), "Common", "")</f>
        <v/>
      </c>
    </row>
    <row r="123" customFormat="false" ht="15.75" hidden="false" customHeight="false" outlineLevel="0" collapsed="false">
      <c r="A123" s="10" t="s">
        <v>2636</v>
      </c>
      <c r="B123" s="3" t="s">
        <v>1617</v>
      </c>
      <c r="C123" s="3" t="s">
        <v>2211</v>
      </c>
      <c r="D123" s="4" t="str">
        <f aca="false">IF(AND(EXACT(B123,C123),NOT(AND(ISBLANK(B123),ISBLANK(C123)))), "Common", "")</f>
        <v/>
      </c>
    </row>
    <row r="124" customFormat="false" ht="15.75" hidden="false" customHeight="false" outlineLevel="0" collapsed="false">
      <c r="A124" s="10" t="s">
        <v>2636</v>
      </c>
      <c r="B124" s="3" t="s">
        <v>1619</v>
      </c>
      <c r="C124" s="3" t="s">
        <v>2213</v>
      </c>
      <c r="D124" s="4" t="str">
        <f aca="false">IF(AND(EXACT(B124,C124),NOT(AND(ISBLANK(B124),ISBLANK(C124)))), "Common", "")</f>
        <v/>
      </c>
    </row>
    <row r="125" customFormat="false" ht="15.75" hidden="false" customHeight="false" outlineLevel="0" collapsed="false">
      <c r="A125" s="10" t="s">
        <v>2636</v>
      </c>
      <c r="B125" s="3"/>
      <c r="C125" s="3" t="s">
        <v>2215</v>
      </c>
      <c r="D125" s="4" t="str">
        <f aca="false">IF(AND(EXACT(B125,C125),NOT(AND(ISBLANK(B125),ISBLANK(C125)))), "Common", "")</f>
        <v/>
      </c>
    </row>
    <row r="126" customFormat="false" ht="15.75" hidden="false" customHeight="false" outlineLevel="0" collapsed="false">
      <c r="A126" s="10" t="s">
        <v>2636</v>
      </c>
      <c r="B126" s="3"/>
      <c r="C126" s="3" t="s">
        <v>2219</v>
      </c>
      <c r="D126" s="4" t="str">
        <f aca="false">IF(AND(EXACT(B126,C126),NOT(AND(ISBLANK(B126),ISBLANK(C126)))), "Common", "")</f>
        <v/>
      </c>
    </row>
    <row r="127" customFormat="false" ht="15.75" hidden="false" customHeight="false" outlineLevel="0" collapsed="false">
      <c r="A127" s="10" t="s">
        <v>2636</v>
      </c>
      <c r="B127" s="3"/>
      <c r="C127" s="3" t="s">
        <v>2225</v>
      </c>
      <c r="D127" s="4" t="str">
        <f aca="false">IF(AND(EXACT(B127,C127),NOT(AND(ISBLANK(B127),ISBLANK(C127)))), "Common", "")</f>
        <v/>
      </c>
    </row>
    <row r="128" customFormat="false" ht="15.75" hidden="false" customHeight="false" outlineLevel="0" collapsed="false">
      <c r="A128" s="10" t="s">
        <v>2636</v>
      </c>
      <c r="B128" s="3"/>
      <c r="C128" s="3" t="s">
        <v>2227</v>
      </c>
      <c r="D128" s="4" t="str">
        <f aca="false">IF(AND(EXACT(B128,C128),NOT(AND(ISBLANK(B128),ISBLANK(C128)))), "Common", "")</f>
        <v/>
      </c>
    </row>
    <row r="129" customFormat="false" ht="15.75" hidden="false" customHeight="false" outlineLevel="0" collapsed="false">
      <c r="A129" s="3"/>
      <c r="B129" s="3"/>
      <c r="D129" s="4" t="str">
        <f aca="false">IF(AND(EXACT(B129,C129),NOT(AND(ISBLANK(B129),ISBLANK(C129)))), "Common", "")</f>
        <v/>
      </c>
    </row>
    <row r="130" customFormat="false" ht="15.75" hidden="false" customHeight="false" outlineLevel="0" collapsed="false">
      <c r="A130" s="3" t="s">
        <v>2637</v>
      </c>
      <c r="B130" s="3" t="s">
        <v>1633</v>
      </c>
      <c r="C130" s="3" t="s">
        <v>2253</v>
      </c>
      <c r="D130" s="4" t="str">
        <f aca="false">IF(AND(EXACT(B130,C130),NOT(AND(ISBLANK(B130),ISBLANK(C130)))), "Common", "")</f>
        <v/>
      </c>
    </row>
    <row r="131" customFormat="false" ht="15.75" hidden="false" customHeight="false" outlineLevel="0" collapsed="false">
      <c r="A131" s="3" t="s">
        <v>2637</v>
      </c>
      <c r="B131" s="3" t="s">
        <v>1639</v>
      </c>
      <c r="C131" s="3" t="s">
        <v>2265</v>
      </c>
      <c r="D131" s="4" t="str">
        <f aca="false">IF(AND(EXACT(B131,C131),NOT(AND(ISBLANK(B131),ISBLANK(C131)))), "Common", "")</f>
        <v/>
      </c>
    </row>
    <row r="132" customFormat="false" ht="15.75" hidden="false" customHeight="false" outlineLevel="0" collapsed="false">
      <c r="A132" s="3" t="s">
        <v>2637</v>
      </c>
      <c r="B132" s="3" t="s">
        <v>1641</v>
      </c>
      <c r="C132" s="3" t="s">
        <v>2269</v>
      </c>
      <c r="D132" s="4" t="str">
        <f aca="false">IF(AND(EXACT(B132,C132),NOT(AND(ISBLANK(B132),ISBLANK(C132)))), "Common", "")</f>
        <v/>
      </c>
    </row>
    <row r="133" customFormat="false" ht="15.75" hidden="false" customHeight="false" outlineLevel="0" collapsed="false">
      <c r="A133" s="3" t="s">
        <v>2637</v>
      </c>
      <c r="B133" s="3" t="s">
        <v>1643</v>
      </c>
      <c r="C133" s="3" t="s">
        <v>2273</v>
      </c>
      <c r="D133" s="4" t="str">
        <f aca="false">IF(AND(EXACT(B133,C133),NOT(AND(ISBLANK(B133),ISBLANK(C133)))), "Common", "")</f>
        <v/>
      </c>
    </row>
    <row r="134" customFormat="false" ht="15.75" hidden="false" customHeight="false" outlineLevel="0" collapsed="false">
      <c r="A134" s="3" t="s">
        <v>2637</v>
      </c>
      <c r="B134" s="3" t="s">
        <v>1645</v>
      </c>
      <c r="C134" s="3" t="s">
        <v>2277</v>
      </c>
      <c r="D134" s="4" t="str">
        <f aca="false">IF(AND(EXACT(B134,C134),NOT(AND(ISBLANK(B134),ISBLANK(C134)))), "Common", "")</f>
        <v/>
      </c>
    </row>
    <row r="135" customFormat="false" ht="15.75" hidden="false" customHeight="false" outlineLevel="0" collapsed="false">
      <c r="A135" s="3" t="s">
        <v>2637</v>
      </c>
      <c r="B135" s="3" t="s">
        <v>1647</v>
      </c>
      <c r="C135" s="3" t="s">
        <v>2281</v>
      </c>
      <c r="D135" s="4" t="str">
        <f aca="false">IF(AND(EXACT(B135,C135),NOT(AND(ISBLANK(B135),ISBLANK(C135)))), "Common", "")</f>
        <v/>
      </c>
    </row>
    <row r="136" customFormat="false" ht="15.75" hidden="false" customHeight="false" outlineLevel="0" collapsed="false">
      <c r="A136" s="3" t="s">
        <v>2637</v>
      </c>
      <c r="B136" s="3" t="s">
        <v>1649</v>
      </c>
      <c r="C136" s="3" t="s">
        <v>2285</v>
      </c>
      <c r="D136" s="4" t="str">
        <f aca="false">IF(AND(EXACT(B136,C136),NOT(AND(ISBLANK(B136),ISBLANK(C136)))), "Common", "")</f>
        <v/>
      </c>
    </row>
    <row r="137" customFormat="false" ht="15.75" hidden="false" customHeight="false" outlineLevel="0" collapsed="false">
      <c r="A137" s="3" t="s">
        <v>2637</v>
      </c>
      <c r="B137" s="3" t="s">
        <v>1651</v>
      </c>
      <c r="C137" s="3" t="s">
        <v>2289</v>
      </c>
      <c r="D137" s="4" t="str">
        <f aca="false">IF(AND(EXACT(B137,C137),NOT(AND(ISBLANK(B137),ISBLANK(C137)))), "Common", "")</f>
        <v/>
      </c>
    </row>
    <row r="138" customFormat="false" ht="15.75" hidden="false" customHeight="false" outlineLevel="0" collapsed="false">
      <c r="A138" s="3" t="s">
        <v>2637</v>
      </c>
      <c r="B138" s="3"/>
      <c r="C138" s="3" t="s">
        <v>2293</v>
      </c>
      <c r="D138" s="4" t="str">
        <f aca="false">IF(AND(EXACT(B138,C138),NOT(AND(ISBLANK(B138),ISBLANK(C138)))), "Common", "")</f>
        <v/>
      </c>
    </row>
    <row r="139" customFormat="false" ht="15.75" hidden="false" customHeight="false" outlineLevel="0" collapsed="false">
      <c r="A139" s="3" t="s">
        <v>2637</v>
      </c>
      <c r="B139" s="3" t="s">
        <v>1635</v>
      </c>
      <c r="C139" s="3" t="s">
        <v>2257</v>
      </c>
      <c r="D139" s="4" t="str">
        <f aca="false">IF(AND(EXACT(B139,C139),NOT(AND(ISBLANK(B139),ISBLANK(C139)))), "Common", "")</f>
        <v/>
      </c>
    </row>
    <row r="140" customFormat="false" ht="15.75" hidden="false" customHeight="false" outlineLevel="0" collapsed="false">
      <c r="A140" s="3" t="s">
        <v>2637</v>
      </c>
      <c r="B140" s="3" t="s">
        <v>1637</v>
      </c>
      <c r="C140" s="3" t="s">
        <v>2259</v>
      </c>
      <c r="D140" s="4" t="str">
        <f aca="false">IF(AND(EXACT(B140,C140),NOT(AND(ISBLANK(B140),ISBLANK(C140)))), "Common", "")</f>
        <v/>
      </c>
    </row>
    <row r="141" customFormat="false" ht="15.75" hidden="false" customHeight="false" outlineLevel="0" collapsed="false">
      <c r="A141" s="3" t="s">
        <v>2637</v>
      </c>
      <c r="B141" s="3"/>
      <c r="C141" s="3"/>
      <c r="D141" s="4" t="str">
        <f aca="false">IF(AND(EXACT(B141,C141),NOT(AND(ISBLANK(B141),ISBLANK(C141)))), "Common", "")</f>
        <v/>
      </c>
    </row>
    <row r="142" customFormat="false" ht="15.75" hidden="false" customHeight="false" outlineLevel="0" collapsed="false">
      <c r="A142" s="3" t="s">
        <v>2637</v>
      </c>
      <c r="B142" s="3"/>
      <c r="C142" s="3" t="s">
        <v>2263</v>
      </c>
      <c r="D142" s="4" t="str">
        <f aca="false">IF(AND(EXACT(B142,C142),NOT(AND(ISBLANK(B142),ISBLANK(C142)))), "Common", "")</f>
        <v/>
      </c>
    </row>
    <row r="143" customFormat="false" ht="15.75" hidden="false" customHeight="false" outlineLevel="0" collapsed="false">
      <c r="A143" s="3" t="s">
        <v>2638</v>
      </c>
      <c r="B143" s="3" t="s">
        <v>1653</v>
      </c>
      <c r="C143" s="3" t="s">
        <v>2251</v>
      </c>
      <c r="D143" s="4" t="str">
        <f aca="false">IF(AND(EXACT(B143,C143),NOT(AND(ISBLANK(B143),ISBLANK(C143)))), "Common", "")</f>
        <v/>
      </c>
    </row>
    <row r="144" customFormat="false" ht="15.75" hidden="false" customHeight="false" outlineLevel="0" collapsed="false">
      <c r="A144" s="3" t="s">
        <v>2638</v>
      </c>
      <c r="B144" s="3" t="s">
        <v>1659</v>
      </c>
      <c r="C144" s="3" t="s">
        <v>2195</v>
      </c>
      <c r="D144" s="4" t="str">
        <f aca="false">IF(AND(EXACT(B144,C144),NOT(AND(ISBLANK(B144),ISBLANK(C144)))), "Common", "")</f>
        <v/>
      </c>
    </row>
    <row r="145" customFormat="false" ht="15.75" hidden="false" customHeight="false" outlineLevel="0" collapsed="false">
      <c r="A145" s="3" t="s">
        <v>2638</v>
      </c>
      <c r="B145" s="3" t="s">
        <v>1661</v>
      </c>
      <c r="C145" s="3" t="s">
        <v>2221</v>
      </c>
      <c r="D145" s="4" t="str">
        <f aca="false">IF(AND(EXACT(B145,C145),NOT(AND(ISBLANK(B145),ISBLANK(C145)))), "Common", "")</f>
        <v/>
      </c>
    </row>
    <row r="146" customFormat="false" ht="15.75" hidden="false" customHeight="false" outlineLevel="0" collapsed="false">
      <c r="A146" s="3" t="s">
        <v>2638</v>
      </c>
      <c r="B146" s="3" t="s">
        <v>1663</v>
      </c>
      <c r="C146" s="3" t="s">
        <v>2229</v>
      </c>
      <c r="D146" s="4" t="str">
        <f aca="false">IF(AND(EXACT(B146,C146),NOT(AND(ISBLANK(B146),ISBLANK(C146)))), "Common", "")</f>
        <v/>
      </c>
    </row>
    <row r="147" customFormat="false" ht="15.75" hidden="false" customHeight="false" outlineLevel="0" collapsed="false">
      <c r="A147" s="3" t="s">
        <v>2638</v>
      </c>
      <c r="B147" s="3" t="s">
        <v>1665</v>
      </c>
      <c r="C147" s="3" t="s">
        <v>2233</v>
      </c>
      <c r="D147" s="4" t="str">
        <f aca="false">IF(AND(EXACT(B147,C147),NOT(AND(ISBLANK(B147),ISBLANK(C147)))), "Common", "")</f>
        <v/>
      </c>
    </row>
    <row r="148" customFormat="false" ht="15.75" hidden="false" customHeight="false" outlineLevel="0" collapsed="false">
      <c r="A148" s="3" t="s">
        <v>2638</v>
      </c>
      <c r="B148" s="3" t="s">
        <v>1667</v>
      </c>
      <c r="C148" s="3" t="s">
        <v>2237</v>
      </c>
      <c r="D148" s="4" t="str">
        <f aca="false">IF(AND(EXACT(B148,C148),NOT(AND(ISBLANK(B148),ISBLANK(C148)))), "Common", "")</f>
        <v/>
      </c>
    </row>
    <row r="149" customFormat="false" ht="15.75" hidden="false" customHeight="false" outlineLevel="0" collapsed="false">
      <c r="A149" s="3" t="s">
        <v>2638</v>
      </c>
      <c r="B149" s="3" t="s">
        <v>1669</v>
      </c>
      <c r="C149" s="3" t="s">
        <v>2241</v>
      </c>
      <c r="D149" s="4" t="str">
        <f aca="false">IF(AND(EXACT(B149,C149),NOT(AND(ISBLANK(B149),ISBLANK(C149)))), "Common", "")</f>
        <v/>
      </c>
    </row>
    <row r="150" customFormat="false" ht="15.75" hidden="false" customHeight="false" outlineLevel="0" collapsed="false">
      <c r="A150" s="3" t="s">
        <v>2638</v>
      </c>
      <c r="B150" s="3" t="s">
        <v>1671</v>
      </c>
      <c r="C150" s="3" t="s">
        <v>2245</v>
      </c>
      <c r="D150" s="4" t="str">
        <f aca="false">IF(AND(EXACT(B150,C150),NOT(AND(ISBLANK(B150),ISBLANK(C150)))), "Common", "")</f>
        <v/>
      </c>
    </row>
    <row r="151" customFormat="false" ht="15.75" hidden="false" customHeight="false" outlineLevel="0" collapsed="false">
      <c r="A151" s="3" t="s">
        <v>2638</v>
      </c>
      <c r="B151" s="3" t="s">
        <v>1673</v>
      </c>
      <c r="C151" s="3" t="s">
        <v>2249</v>
      </c>
      <c r="D151" s="4" t="str">
        <f aca="false">IF(AND(EXACT(B151,C151),NOT(AND(ISBLANK(B151),ISBLANK(C151)))), "Common", "")</f>
        <v/>
      </c>
    </row>
    <row r="152" customFormat="false" ht="15.75" hidden="false" customHeight="false" outlineLevel="0" collapsed="false">
      <c r="A152" s="3" t="s">
        <v>2638</v>
      </c>
      <c r="B152" s="3" t="s">
        <v>1655</v>
      </c>
      <c r="C152" s="3" t="s">
        <v>2139</v>
      </c>
      <c r="D152" s="4" t="str">
        <f aca="false">IF(AND(EXACT(B152,C152),NOT(AND(ISBLANK(B152),ISBLANK(C152)))), "Common", "")</f>
        <v/>
      </c>
    </row>
    <row r="153" customFormat="false" ht="15.75" hidden="false" customHeight="false" outlineLevel="0" collapsed="false">
      <c r="A153" s="3" t="s">
        <v>2638</v>
      </c>
      <c r="B153" s="3" t="s">
        <v>1657</v>
      </c>
      <c r="C153" s="3" t="s">
        <v>2143</v>
      </c>
      <c r="D153" s="4" t="str">
        <f aca="false">IF(AND(EXACT(B153,C153),NOT(AND(ISBLANK(B153),ISBLANK(C153)))), "Common", "")</f>
        <v/>
      </c>
    </row>
    <row r="154" customFormat="false" ht="15.75" hidden="false" customHeight="false" outlineLevel="0" collapsed="false">
      <c r="A154" s="3" t="s">
        <v>2638</v>
      </c>
      <c r="C154" s="3" t="s">
        <v>2145</v>
      </c>
      <c r="D154" s="4" t="str">
        <f aca="false">IF(AND(EXACT(B154,C154),NOT(AND(ISBLANK(B154),ISBLANK(C154)))), "Common", "")</f>
        <v/>
      </c>
    </row>
    <row r="155" customFormat="false" ht="15.75" hidden="false" customHeight="false" outlineLevel="0" collapsed="false">
      <c r="A155" s="3" t="s">
        <v>2638</v>
      </c>
      <c r="C155" s="3" t="s">
        <v>2149</v>
      </c>
      <c r="D155" s="4" t="str">
        <f aca="false">IF(AND(EXACT(B155,C155),NOT(AND(ISBLANK(B155),ISBLANK(C155)))), "Common", "")</f>
        <v/>
      </c>
    </row>
    <row r="156" customFormat="false" ht="15.75" hidden="false" customHeight="false" outlineLevel="0" collapsed="false">
      <c r="A156" s="3" t="s">
        <v>2638</v>
      </c>
      <c r="B156" s="3"/>
      <c r="C156" s="3"/>
      <c r="D156" s="4" t="str">
        <f aca="false">IF(AND(EXACT(B156,C156),NOT(AND(ISBLANK(B156),ISBLANK(C156)))), "Common", "")</f>
        <v/>
      </c>
    </row>
    <row r="157" customFormat="false" ht="15.75" hidden="false" customHeight="false" outlineLevel="0" collapsed="false">
      <c r="A157" s="3" t="s">
        <v>2638</v>
      </c>
      <c r="B157" s="3"/>
      <c r="C157" s="3" t="s">
        <v>2152</v>
      </c>
      <c r="D157" s="4" t="str">
        <f aca="false">IF(AND(EXACT(B157,C157),NOT(AND(ISBLANK(B157),ISBLANK(C157)))), "Common", "")</f>
        <v/>
      </c>
    </row>
    <row r="158" customFormat="false" ht="15.75" hidden="false" customHeight="false" outlineLevel="0" collapsed="false">
      <c r="A158" s="3" t="s">
        <v>2638</v>
      </c>
      <c r="B158" s="3"/>
      <c r="C158" s="3" t="s">
        <v>2155</v>
      </c>
      <c r="D158" s="4" t="str">
        <f aca="false">IF(AND(EXACT(B158,C158),NOT(AND(ISBLANK(B158),ISBLANK(C158)))), "Common", "")</f>
        <v/>
      </c>
    </row>
    <row r="159" customFormat="false" ht="15.75" hidden="false" customHeight="false" outlineLevel="0" collapsed="false">
      <c r="A159" s="3" t="s">
        <v>2638</v>
      </c>
      <c r="B159" s="3"/>
      <c r="C159" s="3" t="s">
        <v>2158</v>
      </c>
      <c r="D159" s="4" t="str">
        <f aca="false">IF(AND(EXACT(B159,C159),NOT(AND(ISBLANK(B159),ISBLANK(C159)))), "Common", "")</f>
        <v/>
      </c>
    </row>
    <row r="160" customFormat="false" ht="15.75" hidden="false" customHeight="false" outlineLevel="0" collapsed="false">
      <c r="A160" s="3" t="s">
        <v>2638</v>
      </c>
      <c r="B160" s="3"/>
      <c r="C160" s="3" t="s">
        <v>2161</v>
      </c>
      <c r="D160" s="4" t="str">
        <f aca="false">IF(AND(EXACT(B160,C160),NOT(AND(ISBLANK(B160),ISBLANK(C160)))), "Common", "")</f>
        <v/>
      </c>
    </row>
    <row r="161" customFormat="false" ht="15.75" hidden="false" customHeight="false" outlineLevel="0" collapsed="false">
      <c r="A161" s="3" t="s">
        <v>2638</v>
      </c>
      <c r="B161" s="3"/>
      <c r="C161" s="3" t="s">
        <v>2164</v>
      </c>
      <c r="D161" s="4" t="str">
        <f aca="false">IF(AND(EXACT(B161,C161),NOT(AND(ISBLANK(B161),ISBLANK(C161)))), "Common", "")</f>
        <v/>
      </c>
    </row>
    <row r="162" customFormat="false" ht="15.75" hidden="false" customHeight="false" outlineLevel="0" collapsed="false">
      <c r="A162" s="3" t="s">
        <v>2638</v>
      </c>
      <c r="B162" s="3"/>
      <c r="C162" s="3" t="s">
        <v>2169</v>
      </c>
      <c r="D162" s="4" t="str">
        <f aca="false">IF(AND(EXACT(B162,C162),NOT(AND(ISBLANK(B162),ISBLANK(C162)))), "Common", "")</f>
        <v/>
      </c>
    </row>
    <row r="163" customFormat="false" ht="15.75" hidden="false" customHeight="false" outlineLevel="0" collapsed="false">
      <c r="A163" s="3" t="s">
        <v>2638</v>
      </c>
      <c r="B163" s="3"/>
      <c r="C163" s="3"/>
      <c r="D163" s="4" t="str">
        <f aca="false">IF(AND(EXACT(B163,C163),NOT(AND(ISBLANK(B163),ISBLANK(C163)))), "Common", "")</f>
        <v/>
      </c>
    </row>
    <row r="164" customFormat="false" ht="15.75" hidden="false" customHeight="false" outlineLevel="0" collapsed="false">
      <c r="A164" s="3" t="s">
        <v>2638</v>
      </c>
      <c r="B164" s="3"/>
      <c r="C164" s="3" t="s">
        <v>2174</v>
      </c>
      <c r="D164" s="4" t="str">
        <f aca="false">IF(AND(EXACT(B164,C164),NOT(AND(ISBLANK(B164),ISBLANK(C164)))), "Common", "")</f>
        <v/>
      </c>
    </row>
    <row r="165" customFormat="false" ht="15.75" hidden="false" customHeight="false" outlineLevel="0" collapsed="false">
      <c r="A165" s="3" t="s">
        <v>2638</v>
      </c>
      <c r="B165" s="3"/>
      <c r="C165" s="3" t="s">
        <v>2177</v>
      </c>
      <c r="D165" s="4" t="str">
        <f aca="false">IF(AND(EXACT(B165,C165),NOT(AND(ISBLANK(B165),ISBLANK(C165)))), "Common", "")</f>
        <v/>
      </c>
    </row>
    <row r="166" customFormat="false" ht="15.75" hidden="false" customHeight="false" outlineLevel="0" collapsed="false">
      <c r="A166" s="3" t="s">
        <v>2638</v>
      </c>
      <c r="B166" s="3"/>
      <c r="C166" s="3" t="s">
        <v>2181</v>
      </c>
      <c r="D166" s="4" t="str">
        <f aca="false">IF(AND(EXACT(B166,C166),NOT(AND(ISBLANK(B166),ISBLANK(C166)))), "Common", "")</f>
        <v/>
      </c>
    </row>
    <row r="167" customFormat="false" ht="15.75" hidden="false" customHeight="false" outlineLevel="0" collapsed="false">
      <c r="A167" s="3" t="s">
        <v>2638</v>
      </c>
      <c r="B167" s="3"/>
      <c r="C167" s="3"/>
      <c r="D167" s="4" t="str">
        <f aca="false">IF(AND(EXACT(B167,C167),NOT(AND(ISBLANK(B167),ISBLANK(C167)))), "Common", "")</f>
        <v/>
      </c>
    </row>
    <row r="168" customFormat="false" ht="15.75" hidden="false" customHeight="false" outlineLevel="0" collapsed="false">
      <c r="A168" s="3" t="s">
        <v>2638</v>
      </c>
      <c r="B168" s="3"/>
      <c r="C168" s="3" t="s">
        <v>2185</v>
      </c>
      <c r="D168" s="4" t="str">
        <f aca="false">IF(AND(EXACT(B168,C168),NOT(AND(ISBLANK(B168),ISBLANK(C168)))), "Common", "")</f>
        <v/>
      </c>
    </row>
    <row r="169" customFormat="false" ht="15.75" hidden="false" customHeight="false" outlineLevel="0" collapsed="false">
      <c r="A169" s="3" t="s">
        <v>2638</v>
      </c>
      <c r="B169" s="3"/>
      <c r="C169" s="3" t="s">
        <v>2188</v>
      </c>
      <c r="D169" s="4" t="str">
        <f aca="false">IF(AND(EXACT(B169,C169),NOT(AND(ISBLANK(B169),ISBLANK(C169)))), "Common", "")</f>
        <v/>
      </c>
    </row>
    <row r="170" customFormat="false" ht="15.75" hidden="false" customHeight="false" outlineLevel="0" collapsed="false">
      <c r="A170" s="3" t="s">
        <v>2638</v>
      </c>
      <c r="B170" s="3"/>
      <c r="C170" s="3" t="s">
        <v>2192</v>
      </c>
      <c r="D170" s="4" t="str">
        <f aca="false">IF(AND(EXACT(B170,C170),NOT(AND(ISBLANK(B170),ISBLANK(C170)))), "Common", "")</f>
        <v/>
      </c>
    </row>
    <row r="171" customFormat="false" ht="15.75" hidden="false" customHeight="false" outlineLevel="0" collapsed="false">
      <c r="A171" s="3" t="s">
        <v>2638</v>
      </c>
      <c r="B171" s="3"/>
      <c r="C171" s="3"/>
      <c r="D171" s="4" t="str">
        <f aca="false">IF(AND(EXACT(B171,C171),NOT(AND(ISBLANK(B171),ISBLANK(C171)))), "Common", "")</f>
        <v/>
      </c>
    </row>
    <row r="172" customFormat="false" ht="15.75" hidden="false" customHeight="false" outlineLevel="0" collapsed="false">
      <c r="A172" s="3" t="s">
        <v>2638</v>
      </c>
      <c r="B172" s="3"/>
      <c r="C172" s="3" t="s">
        <v>2199</v>
      </c>
      <c r="D172" s="4" t="str">
        <f aca="false">IF(AND(EXACT(B172,C172),NOT(AND(ISBLANK(B172),ISBLANK(C172)))), "Common", "")</f>
        <v/>
      </c>
    </row>
    <row r="173" customFormat="false" ht="15.75" hidden="false" customHeight="false" outlineLevel="0" collapsed="false">
      <c r="A173" s="3" t="s">
        <v>2638</v>
      </c>
      <c r="B173" s="3"/>
      <c r="C173" s="3" t="s">
        <v>2203</v>
      </c>
      <c r="D173" s="4" t="str">
        <f aca="false">IF(AND(EXACT(B173,C173),NOT(AND(ISBLANK(B173),ISBLANK(C173)))), "Common", "")</f>
        <v/>
      </c>
    </row>
    <row r="174" customFormat="false" ht="15.75" hidden="false" customHeight="false" outlineLevel="0" collapsed="false">
      <c r="A174" s="3" t="s">
        <v>2638</v>
      </c>
      <c r="B174" s="3"/>
      <c r="C174" s="3" t="s">
        <v>2217</v>
      </c>
      <c r="D174" s="4" t="str">
        <f aca="false">IF(AND(EXACT(B174,C174),NOT(AND(ISBLANK(B174),ISBLANK(C174)))), "Common", "")</f>
        <v/>
      </c>
    </row>
    <row r="175" customFormat="false" ht="15.75" hidden="false" customHeight="false" outlineLevel="0" collapsed="false">
      <c r="A175" s="4"/>
      <c r="B175" s="3"/>
      <c r="D175" s="4" t="str">
        <f aca="false">IF(AND(EXACT(B175,C175),NOT(AND(ISBLANK(B175),ISBLANK(C175)))), "Common", "")</f>
        <v/>
      </c>
    </row>
    <row r="176" customFormat="false" ht="15.75" hidden="false" customHeight="false" outlineLevel="0" collapsed="false">
      <c r="A176" s="4"/>
      <c r="B176" s="3"/>
      <c r="C176" s="3"/>
      <c r="D176" s="4" t="str">
        <f aca="false">IF(AND(EXACT(B176,C176),NOT(AND(ISBLANK(B176),ISBLANK(C176)))), "Common", "")</f>
        <v/>
      </c>
    </row>
    <row r="177" customFormat="false" ht="15.75" hidden="false" customHeight="false" outlineLevel="0" collapsed="false">
      <c r="A177" s="3" t="s">
        <v>2639</v>
      </c>
      <c r="B177" s="3" t="s">
        <v>1804</v>
      </c>
      <c r="C177" s="3" t="s">
        <v>1804</v>
      </c>
      <c r="D177" s="4" t="str">
        <f aca="false">IF(AND(EXACT(B177,C177),NOT(AND(ISBLANK(B177),ISBLANK(C177)))), "Common", "")</f>
        <v>Common</v>
      </c>
    </row>
    <row r="178" customFormat="false" ht="15.75" hidden="false" customHeight="false" outlineLevel="0" collapsed="false">
      <c r="A178" s="3" t="s">
        <v>2639</v>
      </c>
      <c r="B178" s="3" t="s">
        <v>494</v>
      </c>
      <c r="C178" s="3" t="s">
        <v>494</v>
      </c>
      <c r="D178" s="4" t="str">
        <f aca="false">IF(AND(EXACT(B178,C178),NOT(AND(ISBLANK(B178),ISBLANK(C178)))), "Common", "")</f>
        <v>Common</v>
      </c>
    </row>
    <row r="179" customFormat="false" ht="15.75" hidden="false" customHeight="false" outlineLevel="0" collapsed="false">
      <c r="A179" s="3" t="s">
        <v>2639</v>
      </c>
      <c r="B179" s="3" t="s">
        <v>2131</v>
      </c>
      <c r="C179" s="3"/>
      <c r="D179" s="4" t="str">
        <f aca="false">IF(AND(EXACT(B179,C179),NOT(AND(ISBLANK(B179),ISBLANK(C179)))), "Common", "")</f>
        <v/>
      </c>
    </row>
    <row r="180" customFormat="false" ht="15.75" hidden="false" customHeight="false" outlineLevel="0" collapsed="false">
      <c r="A180" s="4"/>
      <c r="B180" s="3"/>
      <c r="D180" s="4" t="str">
        <f aca="false">IF(AND(EXACT(B180,C180),NOT(AND(ISBLANK(B180),ISBLANK(C180)))), "Common", "")</f>
        <v/>
      </c>
    </row>
    <row r="181" customFormat="false" ht="15.75" hidden="false" customHeight="false" outlineLevel="0" collapsed="false">
      <c r="A181" s="3" t="s">
        <v>2640</v>
      </c>
      <c r="B181" s="3" t="s">
        <v>1675</v>
      </c>
      <c r="C181" s="3" t="s">
        <v>2255</v>
      </c>
      <c r="D181" s="4" t="str">
        <f aca="false">IF(AND(EXACT(B181,C181),NOT(AND(ISBLANK(B181),ISBLANK(C181)))), "Common", "")</f>
        <v/>
      </c>
    </row>
    <row r="182" customFormat="false" ht="15.75" hidden="false" customHeight="false" outlineLevel="0" collapsed="false">
      <c r="A182" s="3" t="s">
        <v>2640</v>
      </c>
      <c r="B182" s="3" t="s">
        <v>1681</v>
      </c>
      <c r="C182" s="3" t="s">
        <v>2267</v>
      </c>
      <c r="D182" s="4" t="str">
        <f aca="false">IF(AND(EXACT(B182,C182),NOT(AND(ISBLANK(B182),ISBLANK(C182)))), "Common", "")</f>
        <v/>
      </c>
    </row>
    <row r="183" customFormat="false" ht="15.75" hidden="false" customHeight="false" outlineLevel="0" collapsed="false">
      <c r="A183" s="3" t="s">
        <v>2640</v>
      </c>
      <c r="B183" s="3" t="s">
        <v>1683</v>
      </c>
      <c r="C183" s="3" t="s">
        <v>2271</v>
      </c>
      <c r="D183" s="4" t="str">
        <f aca="false">IF(AND(EXACT(B183,C183),NOT(AND(ISBLANK(B183),ISBLANK(C183)))), "Common", "")</f>
        <v/>
      </c>
    </row>
    <row r="184" customFormat="false" ht="15.75" hidden="false" customHeight="false" outlineLevel="0" collapsed="false">
      <c r="A184" s="3" t="s">
        <v>2640</v>
      </c>
      <c r="B184" s="3" t="s">
        <v>1685</v>
      </c>
      <c r="C184" s="3" t="s">
        <v>2275</v>
      </c>
      <c r="D184" s="4" t="str">
        <f aca="false">IF(AND(EXACT(B184,C184),NOT(AND(ISBLANK(B184),ISBLANK(C184)))), "Common", "")</f>
        <v/>
      </c>
    </row>
    <row r="185" customFormat="false" ht="15.75" hidden="false" customHeight="false" outlineLevel="0" collapsed="false">
      <c r="A185" s="3" t="s">
        <v>2640</v>
      </c>
      <c r="B185" s="3" t="s">
        <v>1687</v>
      </c>
      <c r="C185" s="3" t="s">
        <v>2279</v>
      </c>
      <c r="D185" s="4" t="str">
        <f aca="false">IF(AND(EXACT(B185,C185),NOT(AND(ISBLANK(B185),ISBLANK(C185)))), "Common", "")</f>
        <v/>
      </c>
    </row>
    <row r="186" customFormat="false" ht="15.75" hidden="false" customHeight="false" outlineLevel="0" collapsed="false">
      <c r="A186" s="3" t="s">
        <v>2640</v>
      </c>
      <c r="B186" s="3" t="s">
        <v>1689</v>
      </c>
      <c r="C186" s="3" t="s">
        <v>2283</v>
      </c>
      <c r="D186" s="4" t="str">
        <f aca="false">IF(AND(EXACT(B186,C186),NOT(AND(ISBLANK(B186),ISBLANK(C186)))), "Common", "")</f>
        <v/>
      </c>
    </row>
    <row r="187" customFormat="false" ht="15.75" hidden="false" customHeight="false" outlineLevel="0" collapsed="false">
      <c r="A187" s="3" t="s">
        <v>2640</v>
      </c>
      <c r="B187" s="3" t="s">
        <v>1691</v>
      </c>
      <c r="C187" s="3" t="s">
        <v>2287</v>
      </c>
      <c r="D187" s="4" t="str">
        <f aca="false">IF(AND(EXACT(B187,C187),NOT(AND(ISBLANK(B187),ISBLANK(C187)))), "Common", "")</f>
        <v/>
      </c>
    </row>
    <row r="188" customFormat="false" ht="15.75" hidden="false" customHeight="false" outlineLevel="0" collapsed="false">
      <c r="A188" s="3" t="s">
        <v>2640</v>
      </c>
      <c r="B188" s="3" t="s">
        <v>1693</v>
      </c>
      <c r="C188" s="3" t="s">
        <v>2291</v>
      </c>
      <c r="D188" s="4" t="str">
        <f aca="false">IF(AND(EXACT(B188,C188),NOT(AND(ISBLANK(B188),ISBLANK(C188)))), "Common", "")</f>
        <v/>
      </c>
    </row>
    <row r="189" customFormat="false" ht="15.75" hidden="false" customHeight="false" outlineLevel="0" collapsed="false">
      <c r="A189" s="3" t="s">
        <v>2640</v>
      </c>
      <c r="B189" s="3" t="s">
        <v>1695</v>
      </c>
      <c r="C189" s="3" t="s">
        <v>2295</v>
      </c>
      <c r="D189" s="4" t="str">
        <f aca="false">IF(AND(EXACT(B189,C189),NOT(AND(ISBLANK(B189),ISBLANK(C189)))), "Common", "")</f>
        <v/>
      </c>
    </row>
    <row r="190" customFormat="false" ht="15.75" hidden="false" customHeight="false" outlineLevel="0" collapsed="false">
      <c r="A190" s="3" t="s">
        <v>2640</v>
      </c>
      <c r="B190" s="3" t="s">
        <v>1677</v>
      </c>
      <c r="D190" s="4" t="str">
        <f aca="false">IF(AND(EXACT(B190,C190),NOT(AND(ISBLANK(B190),ISBLANK(C190)))), "Common", "")</f>
        <v/>
      </c>
    </row>
    <row r="191" customFormat="false" ht="15.75" hidden="false" customHeight="false" outlineLevel="0" collapsed="false">
      <c r="A191" s="3" t="s">
        <v>2640</v>
      </c>
      <c r="B191" s="3"/>
      <c r="D191" s="4" t="str">
        <f aca="false">IF(AND(EXACT(B191,C191),NOT(AND(ISBLANK(B191),ISBLANK(C191)))), "Common", "")</f>
        <v/>
      </c>
    </row>
    <row r="192" customFormat="false" ht="15.75" hidden="false" customHeight="false" outlineLevel="0" collapsed="false">
      <c r="A192" s="3" t="s">
        <v>2640</v>
      </c>
      <c r="B192" s="3" t="s">
        <v>1679</v>
      </c>
      <c r="C192" s="3" t="s">
        <v>2261</v>
      </c>
      <c r="D192" s="4" t="str">
        <f aca="false">IF(AND(EXACT(B192,C192),NOT(AND(ISBLANK(B192),ISBLANK(C192)))), "Common", "")</f>
        <v/>
      </c>
    </row>
    <row r="193" customFormat="false" ht="15.75" hidden="false" customHeight="false" outlineLevel="0" collapsed="false">
      <c r="A193" s="3"/>
      <c r="C193" s="3"/>
      <c r="D193" s="4" t="str">
        <f aca="false">IF(AND(EXACT(B193,C193),NOT(AND(ISBLANK(B193),ISBLANK(C193)))), "Common", "")</f>
        <v/>
      </c>
    </row>
    <row r="194" customFormat="false" ht="15.75" hidden="false" customHeight="false" outlineLevel="0" collapsed="false">
      <c r="A194" s="3"/>
      <c r="C194" s="3"/>
      <c r="D194" s="4" t="str">
        <f aca="false">IF(AND(EXACT(B194,C194),NOT(AND(ISBLANK(B194),ISBLANK(C194)))), "Common", "")</f>
        <v/>
      </c>
    </row>
    <row r="195" customFormat="false" ht="15.75" hidden="false" customHeight="false" outlineLevel="0" collapsed="false">
      <c r="A195" s="3" t="s">
        <v>1521</v>
      </c>
      <c r="B195" s="3" t="s">
        <v>1539</v>
      </c>
      <c r="C195" s="3" t="s">
        <v>1520</v>
      </c>
      <c r="D195" s="4" t="str">
        <f aca="false">IF(AND(EXACT(B195,C195),NOT(AND(ISBLANK(B195),ISBLANK(C195)))), "Common", "")</f>
        <v/>
      </c>
    </row>
    <row r="196" customFormat="false" ht="15.75" hidden="false" customHeight="false" outlineLevel="0" collapsed="false">
      <c r="A196" s="3" t="s">
        <v>1521</v>
      </c>
      <c r="B196" s="3" t="s">
        <v>1541</v>
      </c>
      <c r="C196" s="3" t="s">
        <v>1514</v>
      </c>
      <c r="D196" s="4" t="str">
        <f aca="false">IF(AND(EXACT(B196,C196),NOT(AND(ISBLANK(B196),ISBLANK(C196)))), "Common", "")</f>
        <v/>
      </c>
    </row>
    <row r="197" customFormat="false" ht="15.75" hidden="false" customHeight="false" outlineLevel="0" collapsed="false">
      <c r="A197" s="3" t="s">
        <v>1521</v>
      </c>
      <c r="B197" s="3" t="s">
        <v>1543</v>
      </c>
      <c r="C197" s="3"/>
      <c r="D197" s="4" t="str">
        <f aca="false">IF(AND(EXACT(B197,C197),NOT(AND(ISBLANK(B197),ISBLANK(C197)))), "Common", "")</f>
        <v/>
      </c>
    </row>
    <row r="198" customFormat="false" ht="15.75" hidden="false" customHeight="false" outlineLevel="0" collapsed="false">
      <c r="A198" s="3" t="s">
        <v>1521</v>
      </c>
      <c r="B198" s="3" t="s">
        <v>1521</v>
      </c>
      <c r="C198" s="3" t="s">
        <v>1521</v>
      </c>
      <c r="D198" s="4" t="str">
        <f aca="false">IF(AND(EXACT(B198,C198),NOT(AND(ISBLANK(B198),ISBLANK(C198)))), "Common", "")</f>
        <v>Common</v>
      </c>
    </row>
    <row r="199" customFormat="false" ht="15.75" hidden="false" customHeight="false" outlineLevel="0" collapsed="false">
      <c r="A199" s="3" t="s">
        <v>1521</v>
      </c>
      <c r="B199" s="3"/>
      <c r="C199" s="3" t="s">
        <v>1512</v>
      </c>
      <c r="D199" s="4" t="str">
        <f aca="false">IF(AND(EXACT(B199,C199),NOT(AND(ISBLANK(B199),ISBLANK(C199)))), "Common", "")</f>
        <v/>
      </c>
    </row>
    <row r="200" customFormat="false" ht="15.75" hidden="false" customHeight="false" outlineLevel="0" collapsed="false">
      <c r="A200" s="3" t="s">
        <v>1521</v>
      </c>
      <c r="B200" s="3"/>
      <c r="C200" s="3" t="s">
        <v>1516</v>
      </c>
      <c r="D200" s="4" t="str">
        <f aca="false">IF(AND(EXACT(B200,C200),NOT(AND(ISBLANK(B200),ISBLANK(C200)))), "Common", "")</f>
        <v/>
      </c>
    </row>
    <row r="201" customFormat="false" ht="15.75" hidden="false" customHeight="false" outlineLevel="0" collapsed="false">
      <c r="A201" s="3" t="s">
        <v>1521</v>
      </c>
      <c r="B201" s="3"/>
      <c r="C201" s="3" t="s">
        <v>1531</v>
      </c>
      <c r="D201" s="4" t="str">
        <f aca="false">IF(AND(EXACT(B201,C201),NOT(AND(ISBLANK(B201),ISBLANK(C201)))), "Common", "")</f>
        <v/>
      </c>
    </row>
    <row r="202" customFormat="false" ht="15.75" hidden="false" customHeight="false" outlineLevel="0" collapsed="false">
      <c r="A202" s="3"/>
      <c r="B202" s="3"/>
      <c r="D202" s="4" t="str">
        <f aca="false">IF(AND(EXACT(B202,C202),NOT(AND(ISBLANK(B202),ISBLANK(C202)))), "Common", "")</f>
        <v/>
      </c>
    </row>
    <row r="203" customFormat="false" ht="15.75" hidden="false" customHeight="false" outlineLevel="0" collapsed="false">
      <c r="A203" s="3"/>
      <c r="B203" s="3"/>
      <c r="C203" s="3"/>
      <c r="D203" s="4" t="str">
        <f aca="false">IF(AND(EXACT(B203,C203),NOT(AND(ISBLANK(B203),ISBLANK(C203)))), "Common", "")</f>
        <v/>
      </c>
    </row>
    <row r="204" customFormat="false" ht="15.75" hidden="false" customHeight="false" outlineLevel="0" collapsed="false">
      <c r="A204" s="3" t="s">
        <v>2641</v>
      </c>
      <c r="B204" s="3" t="s">
        <v>1545</v>
      </c>
      <c r="C204" s="3"/>
      <c r="D204" s="4" t="str">
        <f aca="false">IF(AND(EXACT(B204,C204),NOT(AND(ISBLANK(B204),ISBLANK(C204)))), "Common", "")</f>
        <v/>
      </c>
    </row>
    <row r="205" customFormat="false" ht="15.75" hidden="false" customHeight="false" outlineLevel="0" collapsed="false">
      <c r="A205" s="3" t="s">
        <v>2641</v>
      </c>
      <c r="B205" s="3" t="s">
        <v>1549</v>
      </c>
      <c r="C205" s="3"/>
      <c r="D205" s="4" t="str">
        <f aca="false">IF(AND(EXACT(B205,C205),NOT(AND(ISBLANK(B205),ISBLANK(C205)))), "Common", "")</f>
        <v/>
      </c>
    </row>
    <row r="206" customFormat="false" ht="15.75" hidden="false" customHeight="false" outlineLevel="0" collapsed="false">
      <c r="A206" s="3" t="s">
        <v>2641</v>
      </c>
      <c r="B206" s="3" t="s">
        <v>1551</v>
      </c>
      <c r="C206" s="3"/>
      <c r="D206" s="4" t="str">
        <f aca="false">IF(AND(EXACT(B206,C206),NOT(AND(ISBLANK(B206),ISBLANK(C206)))), "Common", "")</f>
        <v/>
      </c>
    </row>
    <row r="207" customFormat="false" ht="15.75" hidden="false" customHeight="false" outlineLevel="0" collapsed="false">
      <c r="A207" s="3" t="s">
        <v>2641</v>
      </c>
      <c r="B207" s="3" t="s">
        <v>1553</v>
      </c>
      <c r="C207" s="3"/>
      <c r="D207" s="4" t="str">
        <f aca="false">IF(AND(EXACT(B207,C207),NOT(AND(ISBLANK(B207),ISBLANK(C207)))), "Common", "")</f>
        <v/>
      </c>
    </row>
    <row r="208" customFormat="false" ht="15.75" hidden="false" customHeight="false" outlineLevel="0" collapsed="false">
      <c r="A208" s="3" t="s">
        <v>2641</v>
      </c>
      <c r="B208" s="3" t="s">
        <v>1555</v>
      </c>
      <c r="D208" s="4" t="str">
        <f aca="false">IF(AND(EXACT(B208,C208),NOT(AND(ISBLANK(B208),ISBLANK(C208)))), "Common", "")</f>
        <v/>
      </c>
    </row>
    <row r="209" customFormat="false" ht="15.75" hidden="false" customHeight="false" outlineLevel="0" collapsed="false">
      <c r="A209" s="3" t="s">
        <v>2641</v>
      </c>
      <c r="B209" s="3" t="s">
        <v>1557</v>
      </c>
      <c r="C209" s="3"/>
      <c r="D209" s="4" t="str">
        <f aca="false">IF(AND(EXACT(B209,C209),NOT(AND(ISBLANK(B209),ISBLANK(C209)))), "Common", "")</f>
        <v/>
      </c>
    </row>
    <row r="210" customFormat="false" ht="15.75" hidden="false" customHeight="false" outlineLevel="0" collapsed="false">
      <c r="A210" s="3" t="s">
        <v>2641</v>
      </c>
      <c r="B210" s="3" t="s">
        <v>1559</v>
      </c>
      <c r="C210" s="3"/>
      <c r="D210" s="4" t="str">
        <f aca="false">IF(AND(EXACT(B210,C210),NOT(AND(ISBLANK(B210),ISBLANK(C210)))), "Common", "")</f>
        <v/>
      </c>
    </row>
    <row r="211" customFormat="false" ht="15.75" hidden="false" customHeight="false" outlineLevel="0" collapsed="false">
      <c r="A211" s="3" t="s">
        <v>2641</v>
      </c>
      <c r="B211" s="3" t="s">
        <v>1547</v>
      </c>
      <c r="C211" s="3"/>
      <c r="D211" s="4" t="str">
        <f aca="false">IF(AND(EXACT(B211,C211),NOT(AND(ISBLANK(B211),ISBLANK(C211)))), "Common", "")</f>
        <v/>
      </c>
    </row>
    <row r="212" customFormat="false" ht="15.75" hidden="false" customHeight="false" outlineLevel="0" collapsed="false">
      <c r="A212" s="3" t="s">
        <v>2642</v>
      </c>
      <c r="B212" s="3" t="s">
        <v>1698</v>
      </c>
      <c r="C212" s="3"/>
      <c r="D212" s="4" t="str">
        <f aca="false">IF(AND(EXACT(B212,C212),NOT(AND(ISBLANK(B212),ISBLANK(C212)))), "Common", "")</f>
        <v/>
      </c>
    </row>
    <row r="213" customFormat="false" ht="15.75" hidden="false" customHeight="false" outlineLevel="0" collapsed="false">
      <c r="A213" s="3" t="s">
        <v>2643</v>
      </c>
      <c r="B213" s="3" t="s">
        <v>1700</v>
      </c>
      <c r="C213" s="3" t="s">
        <v>1523</v>
      </c>
      <c r="D213" s="4" t="str">
        <f aca="false">IF(AND(EXACT(B213,C213),NOT(AND(ISBLANK(B213),ISBLANK(C213)))), "Common", "")</f>
        <v/>
      </c>
    </row>
    <row r="214" customFormat="false" ht="15.75" hidden="false" customHeight="false" outlineLevel="0" collapsed="false">
      <c r="A214" s="3" t="s">
        <v>2643</v>
      </c>
      <c r="B214" s="3" t="s">
        <v>1702</v>
      </c>
      <c r="D214" s="4" t="str">
        <f aca="false">IF(AND(EXACT(B214,C214),NOT(AND(ISBLANK(B214),ISBLANK(C214)))), "Common", "")</f>
        <v/>
      </c>
    </row>
    <row r="215" customFormat="false" ht="15.75" hidden="false" customHeight="false" outlineLevel="0" collapsed="false">
      <c r="A215" s="3" t="s">
        <v>2643</v>
      </c>
      <c r="B215" s="3" t="s">
        <v>1704</v>
      </c>
      <c r="C215" s="3"/>
      <c r="D215" s="4" t="str">
        <f aca="false">IF(AND(EXACT(B215,C215),NOT(AND(ISBLANK(B215),ISBLANK(C215)))), "Common", "")</f>
        <v/>
      </c>
    </row>
    <row r="216" customFormat="false" ht="15.75" hidden="false" customHeight="false" outlineLevel="0" collapsed="false">
      <c r="A216" s="3" t="s">
        <v>2644</v>
      </c>
      <c r="B216" s="3" t="s">
        <v>1706</v>
      </c>
      <c r="C216" s="3"/>
      <c r="D216" s="4" t="str">
        <f aca="false">IF(AND(EXACT(B216,C216),NOT(AND(ISBLANK(B216),ISBLANK(C216)))), "Common", "")</f>
        <v/>
      </c>
    </row>
    <row r="217" customFormat="false" ht="15.75" hidden="false" customHeight="false" outlineLevel="0" collapsed="false">
      <c r="A217" s="3" t="s">
        <v>2644</v>
      </c>
      <c r="B217" s="3" t="s">
        <v>1708</v>
      </c>
      <c r="C217" s="3"/>
      <c r="D217" s="4" t="str">
        <f aca="false">IF(AND(EXACT(B217,C217),NOT(AND(ISBLANK(B217),ISBLANK(C217)))), "Common", "")</f>
        <v/>
      </c>
    </row>
    <row r="218" customFormat="false" ht="15.75" hidden="false" customHeight="false" outlineLevel="0" collapsed="false">
      <c r="A218" s="3" t="s">
        <v>2644</v>
      </c>
      <c r="B218" s="3" t="s">
        <v>1710</v>
      </c>
      <c r="C218" s="3"/>
      <c r="D218" s="4" t="str">
        <f aca="false">IF(AND(EXACT(B218,C218),NOT(AND(ISBLANK(B218),ISBLANK(C218)))), "Common", "")</f>
        <v/>
      </c>
    </row>
    <row r="219" customFormat="false" ht="15.75" hidden="false" customHeight="false" outlineLevel="0" collapsed="false">
      <c r="A219" s="3" t="s">
        <v>2644</v>
      </c>
      <c r="B219" s="3" t="s">
        <v>1712</v>
      </c>
      <c r="C219" s="3"/>
      <c r="D219" s="4" t="str">
        <f aca="false">IF(AND(EXACT(B219,C219),NOT(AND(ISBLANK(B219),ISBLANK(C219)))), "Common", "")</f>
        <v/>
      </c>
    </row>
    <row r="220" customFormat="false" ht="15.75" hidden="false" customHeight="false" outlineLevel="0" collapsed="false">
      <c r="A220" s="3" t="s">
        <v>2644</v>
      </c>
      <c r="B220" s="3" t="s">
        <v>1714</v>
      </c>
      <c r="C220" s="3"/>
      <c r="D220" s="4" t="str">
        <f aca="false">IF(AND(EXACT(B220,C220),NOT(AND(ISBLANK(B220),ISBLANK(C220)))), "Common", "")</f>
        <v/>
      </c>
    </row>
    <row r="221" customFormat="false" ht="15.75" hidden="false" customHeight="false" outlineLevel="0" collapsed="false">
      <c r="A221" s="3" t="s">
        <v>2645</v>
      </c>
      <c r="B221" s="3"/>
      <c r="C221" s="3" t="s">
        <v>1527</v>
      </c>
      <c r="D221" s="4" t="str">
        <f aca="false">IF(AND(EXACT(B221,C221),NOT(AND(ISBLANK(B221),ISBLANK(C221)))), "Common", "")</f>
        <v/>
      </c>
    </row>
    <row r="222" customFormat="false" ht="15.75" hidden="false" customHeight="false" outlineLevel="0" collapsed="false">
      <c r="A222" s="3" t="s">
        <v>2645</v>
      </c>
      <c r="B222" s="3"/>
      <c r="C222" s="3" t="s">
        <v>1528</v>
      </c>
      <c r="D222" s="4" t="str">
        <f aca="false">IF(AND(EXACT(B222,C222),NOT(AND(ISBLANK(B222),ISBLANK(C222)))), "Common", "")</f>
        <v/>
      </c>
    </row>
    <row r="223" customFormat="false" ht="15.75" hidden="false" customHeight="false" outlineLevel="0" collapsed="false">
      <c r="A223" s="3" t="s">
        <v>2645</v>
      </c>
      <c r="B223" s="3"/>
      <c r="C223" s="3" t="s">
        <v>1529</v>
      </c>
      <c r="D223" s="4" t="str">
        <f aca="false">IF(AND(EXACT(B223,C223),NOT(AND(ISBLANK(B223),ISBLANK(C223)))), "Common", "")</f>
        <v/>
      </c>
    </row>
    <row r="224" customFormat="false" ht="15.75" hidden="false" customHeight="false" outlineLevel="0" collapsed="false">
      <c r="A224" s="3" t="s">
        <v>2646</v>
      </c>
      <c r="B224" s="3"/>
      <c r="C224" s="3" t="s">
        <v>1525</v>
      </c>
      <c r="D224" s="4" t="str">
        <f aca="false">IF(AND(EXACT(B224,C224),NOT(AND(ISBLANK(B224),ISBLANK(C224)))), "Common", "")</f>
        <v/>
      </c>
    </row>
    <row r="225" customFormat="false" ht="15.75" hidden="false" customHeight="false" outlineLevel="0" collapsed="false">
      <c r="D225" s="4" t="str">
        <f aca="false">IF(AND(EXACT(B225,C225),NOT(AND(ISBLANK(B225),ISBLANK(C225)))), "Common", "")</f>
        <v/>
      </c>
    </row>
    <row r="226" customFormat="false" ht="15.75" hidden="false" customHeight="false" outlineLevel="0" collapsed="false">
      <c r="A226" s="3" t="s">
        <v>2647</v>
      </c>
      <c r="B226" s="3" t="s">
        <v>2022</v>
      </c>
      <c r="C226" s="3" t="s">
        <v>1868</v>
      </c>
      <c r="D226" s="4" t="str">
        <f aca="false">IF(AND(EXACT(B226,C226),NOT(AND(ISBLANK(B226),ISBLANK(C226)))), "Common", "")</f>
        <v/>
      </c>
    </row>
    <row r="227" customFormat="false" ht="15.75" hidden="false" customHeight="false" outlineLevel="0" collapsed="false">
      <c r="A227" s="3" t="s">
        <v>2647</v>
      </c>
      <c r="B227" s="3" t="s">
        <v>2024</v>
      </c>
      <c r="C227" s="3" t="s">
        <v>1865</v>
      </c>
      <c r="D227" s="4" t="str">
        <f aca="false">IF(AND(EXACT(B227,C227),NOT(AND(ISBLANK(B227),ISBLANK(C227)))), "Common", "")</f>
        <v/>
      </c>
    </row>
    <row r="228" customFormat="false" ht="15.75" hidden="false" customHeight="false" outlineLevel="0" collapsed="false">
      <c r="A228" s="3" t="s">
        <v>2647</v>
      </c>
      <c r="B228" s="3" t="s">
        <v>2026</v>
      </c>
      <c r="C228" s="3" t="s">
        <v>1866</v>
      </c>
      <c r="D228" s="4" t="str">
        <f aca="false">IF(AND(EXACT(B228,C228),NOT(AND(ISBLANK(B228),ISBLANK(C228)))), "Common", "")</f>
        <v/>
      </c>
    </row>
    <row r="229" customFormat="false" ht="15.75" hidden="false" customHeight="false" outlineLevel="0" collapsed="false">
      <c r="A229" s="3" t="s">
        <v>2647</v>
      </c>
      <c r="B229" s="3" t="s">
        <v>2028</v>
      </c>
      <c r="C229" s="3" t="s">
        <v>1867</v>
      </c>
      <c r="D229" s="4" t="str">
        <f aca="false">IF(AND(EXACT(B229,C229),NOT(AND(ISBLANK(B229),ISBLANK(C229)))), "Common", "")</f>
        <v/>
      </c>
    </row>
    <row r="230" customFormat="false" ht="15.75" hidden="false" customHeight="false" outlineLevel="0" collapsed="false">
      <c r="D230" s="4" t="str">
        <f aca="false">IF(AND(EXACT(B230,C230),NOT(AND(ISBLANK(B230),ISBLANK(C230)))), "Common", "")</f>
        <v/>
      </c>
    </row>
    <row r="231" customFormat="false" ht="15.75" hidden="false" customHeight="false" outlineLevel="0" collapsed="false">
      <c r="A231" s="3" t="s">
        <v>2648</v>
      </c>
      <c r="C231" s="3" t="s">
        <v>1758</v>
      </c>
      <c r="D231" s="4" t="str">
        <f aca="false">IF(AND(EXACT(B231,C231),NOT(AND(ISBLANK(B231),ISBLANK(C231)))), "Common", "")</f>
        <v/>
      </c>
    </row>
    <row r="232" customFormat="false" ht="15.75" hidden="false" customHeight="false" outlineLevel="0" collapsed="false">
      <c r="D232" s="4" t="str">
        <f aca="false">IF(AND(EXACT(B232,C232),NOT(AND(ISBLANK(B232),ISBLANK(C232)))), "Common", "")</f>
        <v/>
      </c>
    </row>
    <row r="233" customFormat="false" ht="15.75" hidden="false" customHeight="false" outlineLevel="0" collapsed="false">
      <c r="A233" s="4"/>
      <c r="C233" s="3"/>
      <c r="D233" s="4" t="str">
        <f aca="false">IF(AND(EXACT(B233,C233),NOT(AND(ISBLANK(B233),ISBLANK(C233)))), "Common", "")</f>
        <v/>
      </c>
    </row>
    <row r="234" customFormat="false" ht="15.75" hidden="false" customHeight="false" outlineLevel="0" collapsed="false">
      <c r="A234" s="3" t="s">
        <v>1518</v>
      </c>
      <c r="B234" s="3" t="s">
        <v>1518</v>
      </c>
      <c r="C234" s="3" t="s">
        <v>1518</v>
      </c>
      <c r="D234" s="4" t="str">
        <f aca="false">IF(AND(EXACT(B234,C234),NOT(AND(ISBLANK(B234),ISBLANK(C234)))), "Common", "")</f>
        <v>Common</v>
      </c>
    </row>
    <row r="235" customFormat="false" ht="15.75" hidden="false" customHeight="false" outlineLevel="0" collapsed="false">
      <c r="A235" s="3" t="s">
        <v>1518</v>
      </c>
      <c r="B235" s="3" t="s">
        <v>1530</v>
      </c>
      <c r="C235" s="3"/>
      <c r="D235" s="4" t="str">
        <f aca="false">IF(AND(EXACT(B235,C235),NOT(AND(ISBLANK(B235),ISBLANK(C235)))), "Common", "")</f>
        <v/>
      </c>
    </row>
    <row r="236" customFormat="false" ht="15.75" hidden="false" customHeight="false" outlineLevel="0" collapsed="false">
      <c r="A236" s="3" t="s">
        <v>2649</v>
      </c>
      <c r="B236" s="3" t="s">
        <v>1532</v>
      </c>
      <c r="C236" s="3"/>
      <c r="D236" s="4" t="str">
        <f aca="false">IF(AND(EXACT(B236,C236),NOT(AND(ISBLANK(B236),ISBLANK(C236)))), "Common", "")</f>
        <v/>
      </c>
    </row>
    <row r="237" customFormat="false" ht="15.75" hidden="false" customHeight="false" outlineLevel="0" collapsed="false">
      <c r="A237" s="3" t="s">
        <v>2649</v>
      </c>
      <c r="B237" s="3" t="s">
        <v>1534</v>
      </c>
      <c r="C237" s="3"/>
      <c r="D237" s="4" t="str">
        <f aca="false">IF(AND(EXACT(B237,C237),NOT(AND(ISBLANK(B237),ISBLANK(C237)))), "Common", "")</f>
        <v/>
      </c>
    </row>
    <row r="238" customFormat="false" ht="15.75" hidden="false" customHeight="false" outlineLevel="0" collapsed="false">
      <c r="A238" s="3" t="s">
        <v>2649</v>
      </c>
      <c r="B238" s="3" t="s">
        <v>1536</v>
      </c>
      <c r="C238" s="3"/>
      <c r="D238" s="4" t="str">
        <f aca="false">IF(AND(EXACT(B238,C238),NOT(AND(ISBLANK(B238),ISBLANK(C238)))), "Common", "")</f>
        <v/>
      </c>
    </row>
    <row r="239" customFormat="false" ht="15.75" hidden="false" customHeight="false" outlineLevel="0" collapsed="false">
      <c r="A239" s="3" t="s">
        <v>2364</v>
      </c>
      <c r="B239" s="3"/>
      <c r="C239" s="3" t="s">
        <v>2364</v>
      </c>
      <c r="D239" s="4" t="str">
        <f aca="false">IF(AND(EXACT(B239,C239),NOT(AND(ISBLANK(B239),ISBLANK(C239)))), "Common", "")</f>
        <v/>
      </c>
    </row>
    <row r="240" customFormat="false" ht="15.75" hidden="false" customHeight="false" outlineLevel="0" collapsed="false">
      <c r="A240" s="3" t="s">
        <v>2364</v>
      </c>
      <c r="B240" s="3"/>
      <c r="C240" s="3" t="s">
        <v>2386</v>
      </c>
      <c r="D240" s="4" t="str">
        <f aca="false">IF(AND(EXACT(B240,C240),NOT(AND(ISBLANK(B240),ISBLANK(C240)))), "Common", "")</f>
        <v/>
      </c>
    </row>
    <row r="241" customFormat="false" ht="15.75" hidden="false" customHeight="false" outlineLevel="0" collapsed="false">
      <c r="A241" s="3" t="s">
        <v>2364</v>
      </c>
      <c r="B241" s="3"/>
      <c r="C241" s="3" t="s">
        <v>2408</v>
      </c>
      <c r="D241" s="4" t="str">
        <f aca="false">IF(AND(EXACT(B241,C241),NOT(AND(ISBLANK(B241),ISBLANK(C241)))), "Common", "")</f>
        <v/>
      </c>
    </row>
    <row r="242" customFormat="false" ht="15.75" hidden="false" customHeight="false" outlineLevel="0" collapsed="false">
      <c r="A242" s="3" t="s">
        <v>2364</v>
      </c>
      <c r="B242" s="3"/>
      <c r="C242" s="3" t="s">
        <v>2422</v>
      </c>
      <c r="D242" s="4" t="str">
        <f aca="false">IF(AND(EXACT(B242,C242),NOT(AND(ISBLANK(B242),ISBLANK(C242)))), "Common", "")</f>
        <v/>
      </c>
    </row>
    <row r="243" customFormat="false" ht="15.75" hidden="false" customHeight="false" outlineLevel="0" collapsed="false">
      <c r="A243" s="3" t="s">
        <v>2364</v>
      </c>
      <c r="B243" s="3"/>
      <c r="C243" s="3" t="s">
        <v>2424</v>
      </c>
      <c r="D243" s="4" t="str">
        <f aca="false">IF(AND(EXACT(B243,C243),NOT(AND(ISBLANK(B243),ISBLANK(C243)))), "Common", "")</f>
        <v/>
      </c>
    </row>
    <row r="244" customFormat="false" ht="15.75" hidden="false" customHeight="false" outlineLevel="0" collapsed="false">
      <c r="A244" s="3" t="s">
        <v>2364</v>
      </c>
      <c r="B244" s="3"/>
      <c r="C244" s="3" t="s">
        <v>2426</v>
      </c>
      <c r="D244" s="4" t="str">
        <f aca="false">IF(AND(EXACT(B244,C244),NOT(AND(ISBLANK(B244),ISBLANK(C244)))), "Common", "")</f>
        <v/>
      </c>
    </row>
    <row r="245" customFormat="false" ht="15.75" hidden="false" customHeight="false" outlineLevel="0" collapsed="false">
      <c r="A245" s="3" t="s">
        <v>2364</v>
      </c>
      <c r="B245" s="3"/>
      <c r="C245" s="3" t="s">
        <v>2428</v>
      </c>
      <c r="D245" s="4" t="str">
        <f aca="false">IF(AND(EXACT(B245,C245),NOT(AND(ISBLANK(B245),ISBLANK(C245)))), "Common", "")</f>
        <v/>
      </c>
    </row>
    <row r="246" customFormat="false" ht="15.75" hidden="false" customHeight="false" outlineLevel="0" collapsed="false">
      <c r="A246" s="3" t="s">
        <v>2364</v>
      </c>
      <c r="B246" s="3"/>
      <c r="C246" s="3" t="s">
        <v>2430</v>
      </c>
      <c r="D246" s="4" t="str">
        <f aca="false">IF(AND(EXACT(B246,C246),NOT(AND(ISBLANK(B246),ISBLANK(C246)))), "Common", "")</f>
        <v/>
      </c>
    </row>
    <row r="247" customFormat="false" ht="15.75" hidden="false" customHeight="false" outlineLevel="0" collapsed="false">
      <c r="A247" s="3" t="s">
        <v>2364</v>
      </c>
      <c r="B247" s="3"/>
      <c r="C247" s="3" t="s">
        <v>2432</v>
      </c>
      <c r="D247" s="4" t="str">
        <f aca="false">IF(AND(EXACT(B247,C247),NOT(AND(ISBLANK(B247),ISBLANK(C247)))), "Common", "")</f>
        <v/>
      </c>
    </row>
    <row r="248" customFormat="false" ht="15.75" hidden="false" customHeight="false" outlineLevel="0" collapsed="false">
      <c r="A248" s="3" t="s">
        <v>2364</v>
      </c>
      <c r="B248" s="3"/>
      <c r="C248" s="3" t="s">
        <v>2366</v>
      </c>
      <c r="D248" s="4" t="str">
        <f aca="false">IF(AND(EXACT(B248,C248),NOT(AND(ISBLANK(B248),ISBLANK(C248)))), "Common", "")</f>
        <v/>
      </c>
    </row>
    <row r="249" customFormat="false" ht="15.75" hidden="false" customHeight="false" outlineLevel="0" collapsed="false">
      <c r="A249" s="3" t="s">
        <v>2364</v>
      </c>
      <c r="B249" s="3"/>
      <c r="C249" s="3" t="s">
        <v>2368</v>
      </c>
      <c r="D249" s="4" t="str">
        <f aca="false">IF(AND(EXACT(B249,C249),NOT(AND(ISBLANK(B249),ISBLANK(C249)))), "Common", "")</f>
        <v/>
      </c>
    </row>
    <row r="250" customFormat="false" ht="15.75" hidden="false" customHeight="false" outlineLevel="0" collapsed="false">
      <c r="A250" s="3" t="s">
        <v>2364</v>
      </c>
      <c r="B250" s="3"/>
      <c r="C250" s="3" t="s">
        <v>2370</v>
      </c>
      <c r="D250" s="4" t="str">
        <f aca="false">IF(AND(EXACT(B250,C250),NOT(AND(ISBLANK(B250),ISBLANK(C250)))), "Common", "")</f>
        <v/>
      </c>
    </row>
    <row r="251" customFormat="false" ht="15.75" hidden="false" customHeight="false" outlineLevel="0" collapsed="false">
      <c r="A251" s="3" t="s">
        <v>2364</v>
      </c>
      <c r="B251" s="3"/>
      <c r="C251" s="3" t="s">
        <v>2372</v>
      </c>
      <c r="D251" s="4" t="str">
        <f aca="false">IF(AND(EXACT(B251,C251),NOT(AND(ISBLANK(B251),ISBLANK(C251)))), "Common", "")</f>
        <v/>
      </c>
    </row>
    <row r="252" customFormat="false" ht="15.75" hidden="false" customHeight="false" outlineLevel="0" collapsed="false">
      <c r="A252" s="3" t="s">
        <v>2364</v>
      </c>
      <c r="B252" s="3"/>
      <c r="C252" s="3" t="s">
        <v>2374</v>
      </c>
      <c r="D252" s="4" t="str">
        <f aca="false">IF(AND(EXACT(B252,C252),NOT(AND(ISBLANK(B252),ISBLANK(C252)))), "Common", "")</f>
        <v/>
      </c>
    </row>
    <row r="253" customFormat="false" ht="15.75" hidden="false" customHeight="false" outlineLevel="0" collapsed="false">
      <c r="A253" s="3" t="s">
        <v>2364</v>
      </c>
      <c r="B253" s="3"/>
      <c r="C253" s="3" t="s">
        <v>2376</v>
      </c>
      <c r="D253" s="4" t="str">
        <f aca="false">IF(AND(EXACT(B253,C253),NOT(AND(ISBLANK(B253),ISBLANK(C253)))), "Common", "")</f>
        <v/>
      </c>
    </row>
    <row r="254" customFormat="false" ht="15.75" hidden="false" customHeight="false" outlineLevel="0" collapsed="false">
      <c r="A254" s="3" t="s">
        <v>2364</v>
      </c>
      <c r="B254" s="3"/>
      <c r="C254" s="3" t="s">
        <v>2378</v>
      </c>
      <c r="D254" s="4" t="str">
        <f aca="false">IF(AND(EXACT(B254,C254),NOT(AND(ISBLANK(B254),ISBLANK(C254)))), "Common", "")</f>
        <v/>
      </c>
    </row>
    <row r="255" customFormat="false" ht="15.75" hidden="false" customHeight="false" outlineLevel="0" collapsed="false">
      <c r="A255" s="3" t="s">
        <v>2364</v>
      </c>
      <c r="B255" s="3"/>
      <c r="C255" s="3" t="s">
        <v>2380</v>
      </c>
      <c r="D255" s="4" t="str">
        <f aca="false">IF(AND(EXACT(B255,C255),NOT(AND(ISBLANK(B255),ISBLANK(C255)))), "Common", "")</f>
        <v/>
      </c>
    </row>
    <row r="256" customFormat="false" ht="15.75" hidden="false" customHeight="false" outlineLevel="0" collapsed="false">
      <c r="A256" s="3" t="s">
        <v>2364</v>
      </c>
      <c r="B256" s="3"/>
      <c r="C256" s="3" t="s">
        <v>2382</v>
      </c>
      <c r="D256" s="4" t="str">
        <f aca="false">IF(AND(EXACT(B256,C256),NOT(AND(ISBLANK(B256),ISBLANK(C256)))), "Common", "")</f>
        <v/>
      </c>
    </row>
    <row r="257" customFormat="false" ht="15.75" hidden="false" customHeight="false" outlineLevel="0" collapsed="false">
      <c r="A257" s="3" t="s">
        <v>2364</v>
      </c>
      <c r="B257" s="3"/>
      <c r="C257" s="3" t="s">
        <v>2384</v>
      </c>
      <c r="D257" s="4" t="str">
        <f aca="false">IF(AND(EXACT(B257,C257),NOT(AND(ISBLANK(B257),ISBLANK(C257)))), "Common", "")</f>
        <v/>
      </c>
    </row>
    <row r="258" customFormat="false" ht="15.75" hidden="false" customHeight="false" outlineLevel="0" collapsed="false">
      <c r="A258" s="3" t="s">
        <v>2364</v>
      </c>
      <c r="B258" s="3"/>
      <c r="C258" s="3" t="s">
        <v>2388</v>
      </c>
      <c r="D258" s="4" t="str">
        <f aca="false">IF(AND(EXACT(B258,C258),NOT(AND(ISBLANK(B258),ISBLANK(C258)))), "Common", "")</f>
        <v/>
      </c>
    </row>
    <row r="259" customFormat="false" ht="15.75" hidden="false" customHeight="false" outlineLevel="0" collapsed="false">
      <c r="A259" s="3" t="s">
        <v>2364</v>
      </c>
      <c r="B259" s="3"/>
      <c r="C259" s="3" t="s">
        <v>2390</v>
      </c>
      <c r="D259" s="4" t="str">
        <f aca="false">IF(AND(EXACT(B259,C259),NOT(AND(ISBLANK(B259),ISBLANK(C259)))), "Common", "")</f>
        <v/>
      </c>
    </row>
    <row r="260" customFormat="false" ht="15.75" hidden="false" customHeight="false" outlineLevel="0" collapsed="false">
      <c r="A260" s="3" t="s">
        <v>2364</v>
      </c>
      <c r="B260" s="3"/>
      <c r="C260" s="3" t="s">
        <v>2392</v>
      </c>
      <c r="D260" s="4" t="str">
        <f aca="false">IF(AND(EXACT(B260,C260),NOT(AND(ISBLANK(B260),ISBLANK(C260)))), "Common", "")</f>
        <v/>
      </c>
    </row>
    <row r="261" customFormat="false" ht="15.75" hidden="false" customHeight="false" outlineLevel="0" collapsed="false">
      <c r="A261" s="3" t="s">
        <v>2364</v>
      </c>
      <c r="B261" s="3"/>
      <c r="C261" s="3" t="s">
        <v>2394</v>
      </c>
      <c r="D261" s="4" t="str">
        <f aca="false">IF(AND(EXACT(B261,C261),NOT(AND(ISBLANK(B261),ISBLANK(C261)))), "Common", "")</f>
        <v/>
      </c>
    </row>
    <row r="262" customFormat="false" ht="15.75" hidden="false" customHeight="false" outlineLevel="0" collapsed="false">
      <c r="A262" s="3" t="s">
        <v>2364</v>
      </c>
      <c r="B262" s="3"/>
      <c r="C262" s="3" t="s">
        <v>2396</v>
      </c>
      <c r="D262" s="4" t="str">
        <f aca="false">IF(AND(EXACT(B262,C262),NOT(AND(ISBLANK(B262),ISBLANK(C262)))), "Common", "")</f>
        <v/>
      </c>
    </row>
    <row r="263" customFormat="false" ht="15.75" hidden="false" customHeight="false" outlineLevel="0" collapsed="false">
      <c r="A263" s="3" t="s">
        <v>2364</v>
      </c>
      <c r="B263" s="3"/>
      <c r="C263" s="3" t="s">
        <v>2398</v>
      </c>
      <c r="D263" s="4" t="str">
        <f aca="false">IF(AND(EXACT(B263,C263),NOT(AND(ISBLANK(B263),ISBLANK(C263)))), "Common", "")</f>
        <v/>
      </c>
    </row>
    <row r="264" customFormat="false" ht="15.75" hidden="false" customHeight="false" outlineLevel="0" collapsed="false">
      <c r="A264" s="3" t="s">
        <v>2364</v>
      </c>
      <c r="B264" s="3"/>
      <c r="C264" s="3" t="s">
        <v>2400</v>
      </c>
      <c r="D264" s="4" t="str">
        <f aca="false">IF(AND(EXACT(B264,C264),NOT(AND(ISBLANK(B264),ISBLANK(C264)))), "Common", "")</f>
        <v/>
      </c>
    </row>
    <row r="265" customFormat="false" ht="15.75" hidden="false" customHeight="false" outlineLevel="0" collapsed="false">
      <c r="A265" s="3" t="s">
        <v>2364</v>
      </c>
      <c r="B265" s="3"/>
      <c r="C265" s="3" t="s">
        <v>2402</v>
      </c>
      <c r="D265" s="4" t="str">
        <f aca="false">IF(AND(EXACT(B265,C265),NOT(AND(ISBLANK(B265),ISBLANK(C265)))), "Common", "")</f>
        <v/>
      </c>
    </row>
    <row r="266" customFormat="false" ht="15.75" hidden="false" customHeight="false" outlineLevel="0" collapsed="false">
      <c r="A266" s="3" t="s">
        <v>2364</v>
      </c>
      <c r="B266" s="3"/>
      <c r="C266" s="3" t="s">
        <v>2404</v>
      </c>
      <c r="D266" s="4" t="str">
        <f aca="false">IF(AND(EXACT(B266,C266),NOT(AND(ISBLANK(B266),ISBLANK(C266)))), "Common", "")</f>
        <v/>
      </c>
    </row>
    <row r="267" customFormat="false" ht="15.75" hidden="false" customHeight="false" outlineLevel="0" collapsed="false">
      <c r="A267" s="3" t="s">
        <v>2364</v>
      </c>
      <c r="B267" s="3"/>
      <c r="C267" s="3" t="s">
        <v>2406</v>
      </c>
      <c r="D267" s="4" t="str">
        <f aca="false">IF(AND(EXACT(B267,C267),NOT(AND(ISBLANK(B267),ISBLANK(C267)))), "Common", "")</f>
        <v/>
      </c>
    </row>
    <row r="268" customFormat="false" ht="15.75" hidden="false" customHeight="false" outlineLevel="0" collapsed="false">
      <c r="A268" s="3" t="s">
        <v>2364</v>
      </c>
      <c r="B268" s="3"/>
      <c r="C268" s="3" t="s">
        <v>2410</v>
      </c>
      <c r="D268" s="4" t="str">
        <f aca="false">IF(AND(EXACT(B268,C268),NOT(AND(ISBLANK(B268),ISBLANK(C268)))), "Common", "")</f>
        <v/>
      </c>
    </row>
    <row r="269" customFormat="false" ht="15.75" hidden="false" customHeight="false" outlineLevel="0" collapsed="false">
      <c r="A269" s="3" t="s">
        <v>2364</v>
      </c>
      <c r="B269" s="3"/>
      <c r="C269" s="3" t="s">
        <v>2412</v>
      </c>
      <c r="D269" s="4" t="str">
        <f aca="false">IF(AND(EXACT(B269,C269),NOT(AND(ISBLANK(B269),ISBLANK(C269)))), "Common", "")</f>
        <v/>
      </c>
    </row>
    <row r="270" customFormat="false" ht="15.75" hidden="false" customHeight="false" outlineLevel="0" collapsed="false">
      <c r="A270" s="3" t="s">
        <v>2364</v>
      </c>
      <c r="B270" s="3"/>
      <c r="C270" s="3" t="s">
        <v>2414</v>
      </c>
      <c r="D270" s="4" t="str">
        <f aca="false">IF(AND(EXACT(B270,C270),NOT(AND(ISBLANK(B270),ISBLANK(C270)))), "Common", "")</f>
        <v/>
      </c>
    </row>
    <row r="271" customFormat="false" ht="15.75" hidden="false" customHeight="false" outlineLevel="0" collapsed="false">
      <c r="A271" s="3" t="s">
        <v>2364</v>
      </c>
      <c r="B271" s="3"/>
      <c r="C271" s="3" t="s">
        <v>2416</v>
      </c>
      <c r="D271" s="4" t="str">
        <f aca="false">IF(AND(EXACT(B271,C271),NOT(AND(ISBLANK(B271),ISBLANK(C271)))), "Common", "")</f>
        <v/>
      </c>
    </row>
    <row r="272" customFormat="false" ht="15.75" hidden="false" customHeight="false" outlineLevel="0" collapsed="false">
      <c r="A272" s="3" t="s">
        <v>2364</v>
      </c>
      <c r="B272" s="3"/>
      <c r="C272" s="3" t="s">
        <v>2418</v>
      </c>
      <c r="D272" s="4" t="str">
        <f aca="false">IF(AND(EXACT(B272,C272),NOT(AND(ISBLANK(B272),ISBLANK(C272)))), "Common", "")</f>
        <v/>
      </c>
    </row>
    <row r="273" customFormat="false" ht="15.75" hidden="false" customHeight="false" outlineLevel="0" collapsed="false">
      <c r="A273" s="3" t="s">
        <v>2364</v>
      </c>
      <c r="B273" s="3"/>
      <c r="C273" s="3" t="s">
        <v>2420</v>
      </c>
      <c r="D273" s="4" t="str">
        <f aca="false">IF(AND(EXACT(B273,C273),NOT(AND(ISBLANK(B273),ISBLANK(C273)))), "Common", "")</f>
        <v/>
      </c>
    </row>
    <row r="274" customFormat="false" ht="15.75" hidden="false" customHeight="false" outlineLevel="0" collapsed="false">
      <c r="A274" s="4"/>
      <c r="D274" s="4" t="str">
        <f aca="false">IF(AND(EXACT(B274,C274),NOT(AND(ISBLANK(B274),ISBLANK(C274)))), "Common", "")</f>
        <v/>
      </c>
    </row>
    <row r="275" customFormat="false" ht="15.75" hidden="false" customHeight="false" outlineLevel="0" collapsed="false">
      <c r="A275" s="4"/>
      <c r="D275" s="4" t="str">
        <f aca="false">IF(AND(EXACT(B275,C275),NOT(AND(ISBLANK(B275),ISBLANK(C275)))), "Common", "")</f>
        <v/>
      </c>
    </row>
    <row r="276" customFormat="false" ht="15.75" hidden="false" customHeight="false" outlineLevel="0" collapsed="false">
      <c r="A276" s="4"/>
      <c r="D276" s="4" t="str">
        <f aca="false">IF(AND(EXACT(B276,C276),NOT(AND(ISBLANK(B276),ISBLANK(C276)))), "Common", "")</f>
        <v/>
      </c>
    </row>
    <row r="277" customFormat="false" ht="15.75" hidden="false" customHeight="false" outlineLevel="0" collapsed="false">
      <c r="A277" s="4"/>
      <c r="D277" s="4" t="str">
        <f aca="false">IF(AND(EXACT(B277,C277),NOT(AND(ISBLANK(B277),ISBLANK(C277)))), "Common", "")</f>
        <v/>
      </c>
    </row>
    <row r="278" customFormat="false" ht="15.75" hidden="false" customHeight="false" outlineLevel="0" collapsed="false">
      <c r="A278" s="4"/>
      <c r="D278" s="4" t="str">
        <f aca="false">IF(AND(EXACT(B278,C278),NOT(AND(ISBLANK(B278),ISBLANK(C278)))), "Common", "")</f>
        <v/>
      </c>
    </row>
    <row r="279" customFormat="false" ht="15.75" hidden="false" customHeight="false" outlineLevel="0" collapsed="false">
      <c r="A279" s="4"/>
      <c r="D279" s="4" t="str">
        <f aca="false">IF(AND(EXACT(B279,C279),NOT(AND(ISBLANK(B279),ISBLANK(C279)))), "Common", "")</f>
        <v/>
      </c>
    </row>
    <row r="280" customFormat="false" ht="15.75" hidden="false" customHeight="false" outlineLevel="0" collapsed="false">
      <c r="A280" s="4"/>
      <c r="D280" s="4" t="str">
        <f aca="false">IF(AND(EXACT(B280,C280),NOT(AND(ISBLANK(B280),ISBLANK(C280)))), "Common", "")</f>
        <v/>
      </c>
    </row>
    <row r="281" customFormat="false" ht="15.75" hidden="false" customHeight="false" outlineLevel="0" collapsed="false">
      <c r="A281" s="4"/>
      <c r="D281" s="4" t="str">
        <f aca="false">IF(AND(EXACT(B281,C281),NOT(AND(ISBLANK(B281),ISBLANK(C281)))), "Common", "")</f>
        <v/>
      </c>
    </row>
    <row r="282" customFormat="false" ht="15.75" hidden="false" customHeight="false" outlineLevel="0" collapsed="false">
      <c r="A282" s="4"/>
      <c r="D282" s="4" t="str">
        <f aca="false">IF(AND(EXACT(B282,C282),NOT(AND(ISBLANK(B282),ISBLANK(C282)))), "Common", "")</f>
        <v/>
      </c>
    </row>
    <row r="283" customFormat="false" ht="15.75" hidden="false" customHeight="false" outlineLevel="0" collapsed="false">
      <c r="A283" s="4"/>
      <c r="D283" s="4" t="str">
        <f aca="false">IF(AND(EXACT(B283,C283),NOT(AND(ISBLANK(B283),ISBLANK(C283)))), "Common", "")</f>
        <v/>
      </c>
    </row>
    <row r="284" customFormat="false" ht="15.75" hidden="false" customHeight="false" outlineLevel="0" collapsed="false">
      <c r="A284" s="3" t="s">
        <v>2650</v>
      </c>
      <c r="B284" s="3" t="s">
        <v>1789</v>
      </c>
      <c r="C284" s="3"/>
      <c r="D284" s="4" t="str">
        <f aca="false">IF(AND(EXACT(B284,C284),NOT(AND(ISBLANK(B284),ISBLANK(C284)))), "Common", "")</f>
        <v/>
      </c>
    </row>
    <row r="285" customFormat="false" ht="15.75" hidden="false" customHeight="false" outlineLevel="0" collapsed="false">
      <c r="A285" s="3" t="s">
        <v>2651</v>
      </c>
      <c r="B285" s="3" t="s">
        <v>1843</v>
      </c>
      <c r="C285" s="3"/>
      <c r="D285" s="7" t="e">
        <f aca="false">IF(AND(EXACT(#REF!,C285),NOT(AND(ISBLANK(#REF!),ISBLANK(C285)))), "Common", "")</f>
        <v>#REF!</v>
      </c>
    </row>
    <row r="286" customFormat="false" ht="15.75" hidden="false" customHeight="false" outlineLevel="0" collapsed="false">
      <c r="A286" s="4"/>
      <c r="C286" s="3"/>
      <c r="D286" s="4" t="str">
        <f aca="false">IF(AND(EXACT(B286,C286),NOT(AND(ISBLANK(B286),ISBLANK(C286)))), "Common", "")</f>
        <v/>
      </c>
    </row>
    <row r="287" customFormat="false" ht="15.75" hidden="false" customHeight="false" outlineLevel="0" collapsed="false">
      <c r="A287" s="4"/>
      <c r="B287" s="3"/>
      <c r="C287" s="3"/>
      <c r="D287" s="4" t="str">
        <f aca="false">IF(AND(EXACT(B287,C287),NOT(AND(ISBLANK(B287),ISBLANK(C287)))), "Common", "")</f>
        <v/>
      </c>
    </row>
    <row r="288" customFormat="false" ht="15.75" hidden="false" customHeight="false" outlineLevel="0" collapsed="false">
      <c r="A288" s="4"/>
      <c r="C288" s="3"/>
      <c r="D288" s="4" t="str">
        <f aca="false">IF(AND(EXACT(B288,C288),NOT(AND(ISBLANK(B288),ISBLANK(C288)))), "Common", "")</f>
        <v/>
      </c>
    </row>
    <row r="289" customFormat="false" ht="15.75" hidden="false" customHeight="false" outlineLevel="0" collapsed="false">
      <c r="A289" s="4"/>
      <c r="C289" s="3"/>
      <c r="D289" s="4" t="str">
        <f aca="false">IF(AND(EXACT(B289,C289),NOT(AND(ISBLANK(B289),ISBLANK(C289)))), "Common", "")</f>
        <v/>
      </c>
    </row>
    <row r="290" customFormat="false" ht="15.75" hidden="false" customHeight="false" outlineLevel="0" collapsed="false">
      <c r="A290" s="3" t="s">
        <v>2652</v>
      </c>
      <c r="D290" s="4" t="str">
        <f aca="false">IF(AND(EXACT(B290,C290),NOT(AND(ISBLANK(B290),ISBLANK(C290)))), "Common", "")</f>
        <v/>
      </c>
    </row>
    <row r="291" customFormat="false" ht="15.75" hidden="false" customHeight="false" outlineLevel="0" collapsed="false">
      <c r="A291" s="4"/>
      <c r="D291" s="4" t="str">
        <f aca="false">IF(AND(EXACT(B291,C291),NOT(AND(ISBLANK(B291),ISBLANK(C291)))), "Common", "")</f>
        <v/>
      </c>
    </row>
    <row r="292" customFormat="false" ht="15.75" hidden="false" customHeight="false" outlineLevel="0" collapsed="false">
      <c r="A292" s="4"/>
      <c r="D292" s="4" t="str">
        <f aca="false">IF(AND(EXACT(B292,C292),NOT(AND(ISBLANK(B292),ISBLANK(C292)))), "Common", "")</f>
        <v/>
      </c>
    </row>
    <row r="293" customFormat="false" ht="15.75" hidden="false" customHeight="false" outlineLevel="0" collapsed="false">
      <c r="A293" s="4"/>
      <c r="D293" s="4" t="str">
        <f aca="false">IF(AND(EXACT(B293,C293),NOT(AND(ISBLANK(B293),ISBLANK(C293)))), "Common", "")</f>
        <v/>
      </c>
    </row>
    <row r="294" customFormat="false" ht="15.75" hidden="false" customHeight="false" outlineLevel="0" collapsed="false">
      <c r="A294" s="4"/>
      <c r="C294" s="3"/>
    </row>
    <row r="295" customFormat="false" ht="15.75" hidden="false" customHeight="false" outlineLevel="0" collapsed="false">
      <c r="A295" s="3" t="s">
        <v>2653</v>
      </c>
      <c r="B295" s="3" t="s">
        <v>1511</v>
      </c>
      <c r="C295" s="3"/>
      <c r="D295" s="4" t="str">
        <f aca="false">IF(AND(EXACT(B295,C295),NOT(AND(ISBLANK(B295),ISBLANK(C295)))), "Common", "")</f>
        <v/>
      </c>
    </row>
    <row r="296" customFormat="false" ht="15.75" hidden="false" customHeight="false" outlineLevel="0" collapsed="false">
      <c r="A296" s="3" t="s">
        <v>2653</v>
      </c>
      <c r="B296" s="3" t="s">
        <v>2105</v>
      </c>
      <c r="C296" s="3" t="s">
        <v>2105</v>
      </c>
      <c r="D296" s="4" t="str">
        <f aca="false">IF(AND(EXACT(B296,C296),NOT(AND(ISBLANK(B296),ISBLANK(C296)))), "Common", "")</f>
        <v>Common</v>
      </c>
    </row>
    <row r="297" customFormat="false" ht="15.75" hidden="false" customHeight="false" outlineLevel="0" collapsed="false">
      <c r="A297" s="3" t="s">
        <v>2654</v>
      </c>
      <c r="B297" s="3" t="s">
        <v>1818</v>
      </c>
      <c r="C297" s="3"/>
    </row>
    <row r="298" customFormat="false" ht="15.75" hidden="false" customHeight="false" outlineLevel="0" collapsed="false">
      <c r="A298" s="3" t="s">
        <v>2654</v>
      </c>
      <c r="B298" s="3"/>
      <c r="C298" s="3" t="s">
        <v>2626</v>
      </c>
    </row>
    <row r="299" customFormat="false" ht="15.75" hidden="false" customHeight="false" outlineLevel="0" collapsed="false">
      <c r="A299" s="3" t="s">
        <v>2655</v>
      </c>
      <c r="B299" s="3" t="s">
        <v>1487</v>
      </c>
      <c r="C299" s="3"/>
      <c r="D299" s="4" t="str">
        <f aca="false">IF(AND(EXACT(B299,C299),NOT(AND(ISBLANK(B299),ISBLANK(C299)))), "Common", "")</f>
        <v/>
      </c>
    </row>
    <row r="300" customFormat="false" ht="15.75" hidden="false" customHeight="false" outlineLevel="0" collapsed="false">
      <c r="A300" s="3" t="s">
        <v>2655</v>
      </c>
      <c r="B300" s="3" t="s">
        <v>2066</v>
      </c>
      <c r="C300" s="3"/>
      <c r="D300" s="4" t="str">
        <f aca="false">IF(AND(EXACT(B300,C300),NOT(AND(ISBLANK(B300),ISBLANK(C300)))), "Common", "")</f>
        <v/>
      </c>
    </row>
    <row r="301" customFormat="false" ht="15.75" hidden="false" customHeight="false" outlineLevel="0" collapsed="false">
      <c r="A301" s="3" t="s">
        <v>2655</v>
      </c>
      <c r="B301" s="3" t="s">
        <v>2072</v>
      </c>
      <c r="D301" s="4" t="str">
        <f aca="false">IF(AND(EXACT(B301,C301),NOT(AND(ISBLANK(B301),ISBLANK(C301)))), "Common", "")</f>
        <v/>
      </c>
    </row>
    <row r="302" customFormat="false" ht="15.75" hidden="false" customHeight="false" outlineLevel="0" collapsed="false">
      <c r="A302" s="3" t="s">
        <v>2655</v>
      </c>
      <c r="B302" s="3" t="s">
        <v>2084</v>
      </c>
      <c r="C302" s="3"/>
      <c r="D302" s="4" t="str">
        <f aca="false">IF(AND(EXACT(B302,C302),NOT(AND(ISBLANK(B302),ISBLANK(C302)))), "Common", "")</f>
        <v/>
      </c>
    </row>
    <row r="303" customFormat="false" ht="15.75" hidden="false" customHeight="false" outlineLevel="0" collapsed="false">
      <c r="A303" s="3" t="s">
        <v>2655</v>
      </c>
      <c r="B303" s="3" t="s">
        <v>2266</v>
      </c>
      <c r="C303" s="3"/>
      <c r="D303" s="4" t="str">
        <f aca="false">IF(AND(EXACT(B303,C303),NOT(AND(ISBLANK(B303),ISBLANK(C303)))), "Common", "")</f>
        <v/>
      </c>
    </row>
    <row r="304" customFormat="false" ht="15.75" hidden="false" customHeight="false" outlineLevel="0" collapsed="false">
      <c r="A304" s="3" t="s">
        <v>2656</v>
      </c>
      <c r="B304" s="3" t="s">
        <v>2335</v>
      </c>
      <c r="D304" s="4" t="str">
        <f aca="false">IF(AND(EXACT(B304,C304),NOT(AND(ISBLANK(B304),ISBLANK(C304)))), "Common", "")</f>
        <v/>
      </c>
    </row>
    <row r="305" customFormat="false" ht="15.75" hidden="false" customHeight="false" outlineLevel="0" collapsed="false">
      <c r="A305" s="3" t="s">
        <v>2656</v>
      </c>
      <c r="B305" s="3" t="s">
        <v>2337</v>
      </c>
      <c r="C305" s="3"/>
      <c r="D305" s="4" t="str">
        <f aca="false">IF(AND(EXACT(B305,C305),NOT(AND(ISBLANK(B305),ISBLANK(C305)))), "Common", "")</f>
        <v/>
      </c>
    </row>
    <row r="306" customFormat="false" ht="15.75" hidden="false" customHeight="false" outlineLevel="0" collapsed="false">
      <c r="A306" s="3" t="s">
        <v>2656</v>
      </c>
      <c r="B306" s="3" t="s">
        <v>2339</v>
      </c>
      <c r="C306" s="3"/>
      <c r="D306" s="4" t="str">
        <f aca="false">IF(AND(EXACT(B306,C306),NOT(AND(ISBLANK(B306),ISBLANK(C306)))), "Common", "")</f>
        <v/>
      </c>
    </row>
    <row r="307" customFormat="false" ht="15.75" hidden="false" customHeight="false" outlineLevel="0" collapsed="false">
      <c r="A307" s="3" t="s">
        <v>2656</v>
      </c>
      <c r="B307" s="3" t="s">
        <v>2381</v>
      </c>
      <c r="C307" s="3" t="s">
        <v>2381</v>
      </c>
      <c r="D307" s="4" t="str">
        <f aca="false">IF(AND(EXACT(B307,C307),NOT(AND(ISBLANK(B307),ISBLANK(C307)))), "Common", "")</f>
        <v>Common</v>
      </c>
    </row>
    <row r="308" customFormat="false" ht="15.75" hidden="false" customHeight="false" outlineLevel="0" collapsed="false">
      <c r="A308" s="3" t="s">
        <v>2656</v>
      </c>
      <c r="B308" s="3" t="s">
        <v>2317</v>
      </c>
      <c r="C308" s="3" t="s">
        <v>2317</v>
      </c>
      <c r="D308" s="4" t="str">
        <f aca="false">IF(AND(EXACT(B308,C308),NOT(AND(ISBLANK(B308),ISBLANK(C308)))), "Common", "")</f>
        <v>Common</v>
      </c>
    </row>
    <row r="309" customFormat="false" ht="15.75" hidden="false" customHeight="false" outlineLevel="0" collapsed="false">
      <c r="A309" s="3" t="s">
        <v>2656</v>
      </c>
      <c r="B309" s="3" t="s">
        <v>2305</v>
      </c>
      <c r="C309" s="3"/>
      <c r="D309" s="4" t="str">
        <f aca="false">IF(AND(EXACT(B309,C309),NOT(AND(ISBLANK(B309),ISBLANK(C309)))), "Common", "")</f>
        <v/>
      </c>
    </row>
    <row r="310" customFormat="false" ht="15.75" hidden="false" customHeight="false" outlineLevel="0" collapsed="false">
      <c r="A310" s="3" t="s">
        <v>2656</v>
      </c>
      <c r="B310" s="3" t="s">
        <v>2307</v>
      </c>
      <c r="C310" s="3"/>
      <c r="D310" s="4" t="str">
        <f aca="false">IF(AND(EXACT(B310,C310),NOT(AND(ISBLANK(B310),ISBLANK(C310)))), "Common", "")</f>
        <v/>
      </c>
    </row>
    <row r="311" customFormat="false" ht="15.75" hidden="false" customHeight="false" outlineLevel="0" collapsed="false">
      <c r="A311" s="3" t="s">
        <v>2656</v>
      </c>
      <c r="B311" s="3"/>
      <c r="C311" s="3" t="s">
        <v>2610</v>
      </c>
      <c r="D311" s="4" t="str">
        <f aca="false">IF(AND(EXACT(B311,C311),NOT(AND(ISBLANK(B311),ISBLANK(C311)))), "Common", "")</f>
        <v/>
      </c>
    </row>
    <row r="312" customFormat="false" ht="15.75" hidden="false" customHeight="false" outlineLevel="0" collapsed="false">
      <c r="A312" s="3" t="s">
        <v>2656</v>
      </c>
      <c r="B312" s="3"/>
      <c r="C312" s="3" t="s">
        <v>2531</v>
      </c>
      <c r="D312" s="4" t="str">
        <f aca="false">IF(AND(EXACT(B312,C312),NOT(AND(ISBLANK(B312),ISBLANK(C312)))), "Common", "")</f>
        <v/>
      </c>
    </row>
    <row r="313" customFormat="false" ht="15.75" hidden="false" customHeight="false" outlineLevel="0" collapsed="false">
      <c r="A313" s="3" t="s">
        <v>2656</v>
      </c>
      <c r="B313" s="3"/>
      <c r="C313" s="3" t="s">
        <v>1796</v>
      </c>
      <c r="D313" s="4" t="str">
        <f aca="false">IF(AND(EXACT(B313,C313),NOT(AND(ISBLANK(B313),ISBLANK(C313)))), "Common", "")</f>
        <v/>
      </c>
    </row>
    <row r="314" customFormat="false" ht="15.75" hidden="false" customHeight="false" outlineLevel="0" collapsed="false">
      <c r="A314" s="3" t="s">
        <v>2657</v>
      </c>
      <c r="D314" s="4" t="str">
        <f aca="false">IF(AND(EXACT(B314,C314),NOT(AND(ISBLANK(B314),ISBLANK(C314)))), "Common", "")</f>
        <v/>
      </c>
    </row>
    <row r="315" customFormat="false" ht="15.75" hidden="false" customHeight="false" outlineLevel="0" collapsed="false">
      <c r="A315" s="4"/>
      <c r="D315" s="4" t="str">
        <f aca="false">IF(AND(EXACT(B315,C315),NOT(AND(ISBLANK(B315),ISBLANK(C315)))), "Common", "")</f>
        <v/>
      </c>
    </row>
    <row r="316" customFormat="false" ht="15.75" hidden="false" customHeight="false" outlineLevel="0" collapsed="false">
      <c r="A316" s="4"/>
      <c r="D316" s="4" t="str">
        <f aca="false">IF(AND(EXACT(B316,C316),NOT(AND(ISBLANK(B316),ISBLANK(C316)))), "Common", "")</f>
        <v/>
      </c>
    </row>
    <row r="317" customFormat="false" ht="15.75" hidden="false" customHeight="false" outlineLevel="0" collapsed="false">
      <c r="A317" s="4"/>
      <c r="D317" s="4" t="str">
        <f aca="false">IF(AND(EXACT(B559,C559),NOT(AND(ISBLANK(B559),ISBLANK(C559)))), "Common", "")</f>
        <v/>
      </c>
    </row>
    <row r="318" customFormat="false" ht="15.75" hidden="false" customHeight="false" outlineLevel="0" collapsed="false">
      <c r="A318" s="3" t="s">
        <v>2658</v>
      </c>
      <c r="B318" s="3" t="s">
        <v>1513</v>
      </c>
      <c r="C318" s="3"/>
      <c r="D318" s="4" t="str">
        <f aca="false">IF(AND(EXACT(B318,C318),NOT(AND(ISBLANK(B318),ISBLANK(C318)))), "Common", "")</f>
        <v/>
      </c>
    </row>
    <row r="319" customFormat="false" ht="15.75" hidden="false" customHeight="false" outlineLevel="0" collapsed="false">
      <c r="A319" s="3" t="s">
        <v>2658</v>
      </c>
      <c r="B319" s="3" t="s">
        <v>1497</v>
      </c>
      <c r="C319" s="3" t="s">
        <v>1497</v>
      </c>
      <c r="D319" s="4" t="str">
        <f aca="false">IF(AND(EXACT(B319,C319),NOT(AND(ISBLANK(B319),ISBLANK(C319)))), "Common", "")</f>
        <v>Common</v>
      </c>
    </row>
    <row r="320" customFormat="false" ht="15.75" hidden="false" customHeight="false" outlineLevel="0" collapsed="false">
      <c r="A320" s="3" t="s">
        <v>2659</v>
      </c>
      <c r="B320" s="3" t="s">
        <v>2324</v>
      </c>
      <c r="C320" s="3"/>
      <c r="D320" s="4" t="str">
        <f aca="false">IF(AND(EXACT(B320,C320),NOT(AND(ISBLANK(B320),ISBLANK(C320)))), "Common", "")</f>
        <v/>
      </c>
    </row>
    <row r="321" customFormat="false" ht="15.75" hidden="false" customHeight="false" outlineLevel="0" collapsed="false">
      <c r="A321" s="3" t="s">
        <v>2659</v>
      </c>
      <c r="B321" s="3" t="s">
        <v>2323</v>
      </c>
      <c r="C321" s="3" t="s">
        <v>2323</v>
      </c>
      <c r="D321" s="4" t="str">
        <f aca="false">IF(AND(EXACT(B321,C321),NOT(AND(ISBLANK(B321),ISBLANK(C321)))), "Common", "")</f>
        <v>Common</v>
      </c>
    </row>
    <row r="322" customFormat="false" ht="15.75" hidden="false" customHeight="false" outlineLevel="0" collapsed="false">
      <c r="A322" s="3" t="s">
        <v>2659</v>
      </c>
      <c r="B322" s="3" t="s">
        <v>2326</v>
      </c>
      <c r="C322" s="3" t="s">
        <v>2326</v>
      </c>
      <c r="D322" s="4" t="str">
        <f aca="false">IF(AND(EXACT(B322,C322),NOT(AND(ISBLANK(B322),ISBLANK(C322)))), "Common", "")</f>
        <v>Common</v>
      </c>
    </row>
    <row r="323" customFormat="false" ht="15.75" hidden="false" customHeight="false" outlineLevel="0" collapsed="false">
      <c r="A323" s="3" t="s">
        <v>2659</v>
      </c>
      <c r="B323" s="3" t="s">
        <v>2327</v>
      </c>
      <c r="C323" s="3" t="s">
        <v>2327</v>
      </c>
      <c r="D323" s="4" t="str">
        <f aca="false">IF(AND(EXACT(B323,C323),NOT(AND(ISBLANK(B323),ISBLANK(C323)))), "Common", "")</f>
        <v>Common</v>
      </c>
    </row>
    <row r="324" customFormat="false" ht="15.75" hidden="false" customHeight="false" outlineLevel="0" collapsed="false">
      <c r="A324" s="3" t="s">
        <v>2659</v>
      </c>
      <c r="B324" s="3"/>
      <c r="C324" s="3" t="s">
        <v>2497</v>
      </c>
      <c r="D324" s="4" t="str">
        <f aca="false">IF(AND(EXACT(B324,C324),NOT(AND(ISBLANK(B324),ISBLANK(C324)))), "Common", "")</f>
        <v/>
      </c>
    </row>
    <row r="325" customFormat="false" ht="15.75" hidden="false" customHeight="false" outlineLevel="0" collapsed="false">
      <c r="A325" s="3" t="s">
        <v>2659</v>
      </c>
      <c r="C325" s="3" t="s">
        <v>2529</v>
      </c>
      <c r="D325" s="4" t="str">
        <f aca="false">IF(AND(EXACT(B325,C325),NOT(AND(ISBLANK(B325),ISBLANK(C325)))), "Common", "")</f>
        <v/>
      </c>
    </row>
    <row r="326" customFormat="false" ht="15.75" hidden="false" customHeight="false" outlineLevel="0" collapsed="false">
      <c r="A326" s="3" t="s">
        <v>2659</v>
      </c>
      <c r="B326" s="3" t="s">
        <v>2421</v>
      </c>
      <c r="D326" s="4" t="str">
        <f aca="false">IF(AND(EXACT(B326,C326),NOT(AND(ISBLANK(B326),ISBLANK(C326)))), "Common", "")</f>
        <v/>
      </c>
    </row>
    <row r="327" customFormat="false" ht="15.75" hidden="false" customHeight="false" outlineLevel="0" collapsed="false">
      <c r="A327" s="3" t="s">
        <v>2660</v>
      </c>
      <c r="B327" s="3" t="s">
        <v>2313</v>
      </c>
      <c r="D327" s="4" t="str">
        <f aca="false">IF(AND(EXACT(B327,C327),NOT(AND(ISBLANK(B327),ISBLANK(C327)))), "Common", "")</f>
        <v/>
      </c>
    </row>
    <row r="328" customFormat="false" ht="15.75" hidden="false" customHeight="false" outlineLevel="0" collapsed="false">
      <c r="A328" s="3" t="s">
        <v>2660</v>
      </c>
      <c r="B328" s="3" t="s">
        <v>2340</v>
      </c>
      <c r="C328" s="3"/>
      <c r="D328" s="4" t="str">
        <f aca="false">IF(AND(EXACT(B328,C328),NOT(AND(ISBLANK(B328),ISBLANK(C328)))), "Common", "")</f>
        <v/>
      </c>
    </row>
    <row r="329" customFormat="false" ht="15.75" hidden="false" customHeight="false" outlineLevel="0" collapsed="false">
      <c r="A329" s="3" t="s">
        <v>2660</v>
      </c>
      <c r="B329" s="3"/>
      <c r="C329" s="3" t="s">
        <v>1778</v>
      </c>
      <c r="D329" s="4" t="str">
        <f aca="false">IF(AND(EXACT(B329,C329),NOT(AND(ISBLANK(B329),ISBLANK(C329)))), "Common", "")</f>
        <v/>
      </c>
    </row>
    <row r="330" customFormat="false" ht="15.75" hidden="false" customHeight="false" outlineLevel="0" collapsed="false">
      <c r="A330" s="3" t="s">
        <v>2660</v>
      </c>
      <c r="B330" s="3"/>
      <c r="C330" s="3" t="s">
        <v>2557</v>
      </c>
      <c r="D330" s="4" t="str">
        <f aca="false">IF(AND(EXACT(B330,C330),NOT(AND(ISBLANK(B330),ISBLANK(C330)))), "Common", "")</f>
        <v/>
      </c>
    </row>
    <row r="331" customFormat="false" ht="15.75" hidden="false" customHeight="false" outlineLevel="0" collapsed="false">
      <c r="A331" s="3"/>
      <c r="B331" s="3"/>
      <c r="C331" s="3"/>
      <c r="D331" s="4" t="str">
        <f aca="false">IF(AND(EXACT(B331,C331),NOT(AND(ISBLANK(B331),ISBLANK(C331)))), "Common", "")</f>
        <v/>
      </c>
    </row>
    <row r="332" customFormat="false" ht="15.75" hidden="false" customHeight="false" outlineLevel="0" collapsed="false">
      <c r="A332" s="3" t="s">
        <v>2661</v>
      </c>
      <c r="B332" s="3"/>
      <c r="C332" s="3" t="s">
        <v>1490</v>
      </c>
      <c r="D332" s="4" t="str">
        <f aca="false">IF(AND(EXACT(B332,C332),NOT(AND(ISBLANK(B332),ISBLANK(C332)))), "Common", "")</f>
        <v/>
      </c>
    </row>
    <row r="333" customFormat="false" ht="15.75" hidden="false" customHeight="false" outlineLevel="0" collapsed="false">
      <c r="A333" s="3" t="s">
        <v>2661</v>
      </c>
      <c r="B333" s="3"/>
      <c r="C333" s="3" t="s">
        <v>1963</v>
      </c>
      <c r="D333" s="4" t="str">
        <f aca="false">IF(AND(EXACT(B333,C333),NOT(AND(ISBLANK(B333),ISBLANK(C333)))), "Common", "")</f>
        <v/>
      </c>
    </row>
    <row r="334" customFormat="false" ht="15.75" hidden="false" customHeight="false" outlineLevel="0" collapsed="false">
      <c r="A334" s="3" t="s">
        <v>2661</v>
      </c>
      <c r="B334" s="3" t="s">
        <v>2124</v>
      </c>
      <c r="C334" s="3"/>
      <c r="D334" s="4" t="str">
        <f aca="false">IF(AND(EXACT(B334,C334),NOT(AND(ISBLANK(B334),ISBLANK(C334)))), "Common", "")</f>
        <v/>
      </c>
    </row>
    <row r="335" customFormat="false" ht="15.75" hidden="false" customHeight="false" outlineLevel="0" collapsed="false">
      <c r="A335" s="3" t="s">
        <v>2661</v>
      </c>
      <c r="B335" s="3"/>
      <c r="C335" s="3" t="s">
        <v>1724</v>
      </c>
      <c r="D335" s="4" t="str">
        <f aca="false">IF(AND(EXACT(B335,C335),NOT(AND(ISBLANK(B335),ISBLANK(C335)))), "Common", "")</f>
        <v/>
      </c>
    </row>
    <row r="336" customFormat="false" ht="15.75" hidden="false" customHeight="false" outlineLevel="0" collapsed="false">
      <c r="A336" s="3" t="s">
        <v>2661</v>
      </c>
      <c r="B336" s="3"/>
      <c r="C336" s="3" t="s">
        <v>1726</v>
      </c>
      <c r="D336" s="4" t="str">
        <f aca="false">IF(AND(EXACT(B336,C336),NOT(AND(ISBLANK(B336),ISBLANK(C336)))), "Common", "")</f>
        <v/>
      </c>
    </row>
    <row r="337" customFormat="false" ht="15.75" hidden="false" customHeight="false" outlineLevel="0" collapsed="false">
      <c r="A337" s="3" t="s">
        <v>2662</v>
      </c>
      <c r="B337" s="3" t="s">
        <v>1485</v>
      </c>
      <c r="C337" s="3"/>
      <c r="D337" s="4" t="str">
        <f aca="false">IF(AND(EXACT(B337,C337),NOT(AND(ISBLANK(B337),ISBLANK(C337)))), "Common", "")</f>
        <v/>
      </c>
    </row>
    <row r="338" customFormat="false" ht="15.75" hidden="false" customHeight="false" outlineLevel="0" collapsed="false">
      <c r="A338" s="3" t="s">
        <v>2662</v>
      </c>
      <c r="B338" s="3"/>
      <c r="C338" s="3" t="s">
        <v>1500</v>
      </c>
      <c r="D338" s="4" t="str">
        <f aca="false">IF(AND(EXACT(B338,C338),NOT(AND(ISBLANK(B338),ISBLANK(C338)))), "Common", "")</f>
        <v/>
      </c>
    </row>
    <row r="339" customFormat="false" ht="15.75" hidden="false" customHeight="false" outlineLevel="0" collapsed="false">
      <c r="A339" s="3" t="s">
        <v>2662</v>
      </c>
      <c r="B339" s="3" t="s">
        <v>1519</v>
      </c>
      <c r="D339" s="4" t="str">
        <f aca="false">IF(AND(EXACT(B339,C339),NOT(AND(ISBLANK(B339),ISBLANK(C339)))), "Common", "")</f>
        <v/>
      </c>
    </row>
    <row r="340" customFormat="false" ht="15.75" hidden="false" customHeight="false" outlineLevel="0" collapsed="false">
      <c r="A340" s="3" t="s">
        <v>2662</v>
      </c>
      <c r="B340" s="3" t="s">
        <v>2068</v>
      </c>
      <c r="C340" s="3"/>
      <c r="D340" s="4" t="str">
        <f aca="false">IF(AND(EXACT(B340,C340),NOT(AND(ISBLANK(B340),ISBLANK(C340)))), "Common", "")</f>
        <v/>
      </c>
    </row>
    <row r="341" customFormat="false" ht="15.75" hidden="false" customHeight="false" outlineLevel="0" collapsed="false">
      <c r="A341" s="3" t="s">
        <v>2662</v>
      </c>
      <c r="B341" s="3"/>
      <c r="C341" s="3" t="s">
        <v>1974</v>
      </c>
      <c r="D341" s="4" t="str">
        <f aca="false">IF(AND(EXACT(B341,C341),NOT(AND(ISBLANK(B341),ISBLANK(C341)))), "Common", "")</f>
        <v/>
      </c>
    </row>
    <row r="342" customFormat="false" ht="15.75" hidden="false" customHeight="false" outlineLevel="0" collapsed="false">
      <c r="A342" s="3" t="s">
        <v>287</v>
      </c>
      <c r="B342" s="3" t="s">
        <v>2284</v>
      </c>
      <c r="C342" s="3" t="s">
        <v>2284</v>
      </c>
      <c r="D342" s="4" t="str">
        <f aca="false">IF(AND(EXACT(B342,C342),NOT(AND(ISBLANK(B342),ISBLANK(C342)))), "Common", "")</f>
        <v>Common</v>
      </c>
    </row>
    <row r="343" customFormat="false" ht="15.75" hidden="false" customHeight="false" outlineLevel="0" collapsed="false">
      <c r="A343" s="3" t="s">
        <v>287</v>
      </c>
      <c r="B343" s="3" t="s">
        <v>2286</v>
      </c>
      <c r="C343" s="3" t="s">
        <v>2286</v>
      </c>
      <c r="D343" s="4" t="str">
        <f aca="false">IF(AND(EXACT(B343,C343),NOT(AND(ISBLANK(B343),ISBLANK(C343)))), "Common", "")</f>
        <v>Common</v>
      </c>
    </row>
    <row r="344" customFormat="false" ht="15.75" hidden="false" customHeight="false" outlineLevel="0" collapsed="false">
      <c r="A344" s="3" t="s">
        <v>287</v>
      </c>
      <c r="B344" s="3" t="s">
        <v>2311</v>
      </c>
      <c r="C344" s="3" t="s">
        <v>2311</v>
      </c>
      <c r="D344" s="4" t="str">
        <f aca="false">IF(AND(EXACT(B344,C344),NOT(AND(ISBLANK(B344),ISBLANK(C344)))), "Common", "")</f>
        <v>Common</v>
      </c>
    </row>
    <row r="345" customFormat="false" ht="15.75" hidden="false" customHeight="false" outlineLevel="0" collapsed="false">
      <c r="A345" s="3" t="s">
        <v>287</v>
      </c>
      <c r="B345" s="3" t="s">
        <v>2312</v>
      </c>
      <c r="C345" s="3" t="s">
        <v>2312</v>
      </c>
      <c r="D345" s="4" t="str">
        <f aca="false">IF(AND(EXACT(B345,C345),NOT(AND(ISBLANK(B345),ISBLANK(C345)))), "Common", "")</f>
        <v>Common</v>
      </c>
    </row>
    <row r="346" customFormat="false" ht="15.75" hidden="false" customHeight="false" outlineLevel="0" collapsed="false">
      <c r="A346" s="3" t="s">
        <v>287</v>
      </c>
      <c r="B346" s="3" t="s">
        <v>2356</v>
      </c>
      <c r="C346" s="3" t="s">
        <v>2356</v>
      </c>
      <c r="D346" s="4" t="str">
        <f aca="false">IF(AND(EXACT(B346,C346),NOT(AND(ISBLANK(B346),ISBLANK(C346)))), "Common", "")</f>
        <v>Common</v>
      </c>
    </row>
    <row r="347" customFormat="false" ht="15.75" hidden="false" customHeight="false" outlineLevel="0" collapsed="false">
      <c r="A347" s="3" t="s">
        <v>287</v>
      </c>
      <c r="B347" s="3" t="s">
        <v>2399</v>
      </c>
      <c r="C347" s="3" t="s">
        <v>2399</v>
      </c>
      <c r="D347" s="4" t="str">
        <f aca="false">IF(AND(EXACT(B347,C347),NOT(AND(ISBLANK(B347),ISBLANK(C347)))), "Common", "")</f>
        <v>Common</v>
      </c>
    </row>
    <row r="348" customFormat="false" ht="15.75" hidden="false" customHeight="false" outlineLevel="0" collapsed="false">
      <c r="A348" s="3" t="s">
        <v>287</v>
      </c>
      <c r="B348" s="3" t="s">
        <v>2350</v>
      </c>
      <c r="C348" s="3"/>
      <c r="D348" s="4" t="str">
        <f aca="false">IF(AND(EXACT(B348,C348),NOT(AND(ISBLANK(B348),ISBLANK(C348)))), "Common", "")</f>
        <v/>
      </c>
    </row>
    <row r="349" customFormat="false" ht="15.75" hidden="false" customHeight="false" outlineLevel="0" collapsed="false">
      <c r="A349" s="3" t="s">
        <v>287</v>
      </c>
      <c r="C349" s="3" t="s">
        <v>2544</v>
      </c>
      <c r="D349" s="4" t="str">
        <f aca="false">IF(AND(EXACT(B349,C349),NOT(AND(ISBLANK(B349),ISBLANK(C349)))), "Common", "")</f>
        <v/>
      </c>
    </row>
    <row r="350" customFormat="false" ht="15.75" hidden="false" customHeight="false" outlineLevel="0" collapsed="false">
      <c r="A350" s="3" t="s">
        <v>287</v>
      </c>
      <c r="B350" s="3"/>
      <c r="C350" s="3" t="s">
        <v>2551</v>
      </c>
      <c r="D350" s="4" t="str">
        <f aca="false">IF(AND(EXACT(B350,C350),NOT(AND(ISBLANK(B350),ISBLANK(C350)))), "Common", "")</f>
        <v/>
      </c>
    </row>
    <row r="351" customFormat="false" ht="15.75" hidden="false" customHeight="false" outlineLevel="0" collapsed="false">
      <c r="A351" s="3" t="s">
        <v>287</v>
      </c>
      <c r="B351" s="3" t="s">
        <v>2401</v>
      </c>
      <c r="C351" s="3" t="s">
        <v>2401</v>
      </c>
      <c r="D351" s="4" t="str">
        <f aca="false">IF(AND(EXACT(B351,C351),NOT(AND(ISBLANK(B351),ISBLANK(C351)))), "Common", "")</f>
        <v>Common</v>
      </c>
    </row>
    <row r="352" customFormat="false" ht="15.75" hidden="false" customHeight="false" outlineLevel="0" collapsed="false">
      <c r="A352" s="3" t="s">
        <v>287</v>
      </c>
      <c r="B352" s="3" t="s">
        <v>2405</v>
      </c>
      <c r="C352" s="3" t="s">
        <v>2405</v>
      </c>
      <c r="D352" s="4" t="str">
        <f aca="false">IF(AND(EXACT(B352,C352),NOT(AND(ISBLANK(B352),ISBLANK(C352)))), "Common", "")</f>
        <v>Common</v>
      </c>
    </row>
    <row r="353" customFormat="false" ht="15.75" hidden="false" customHeight="false" outlineLevel="0" collapsed="false">
      <c r="A353" s="3" t="s">
        <v>287</v>
      </c>
      <c r="B353" s="3" t="s">
        <v>2407</v>
      </c>
      <c r="C353" s="3" t="s">
        <v>2407</v>
      </c>
      <c r="D353" s="4" t="str">
        <f aca="false">IF(AND(EXACT(B353,C353),NOT(AND(ISBLANK(B353),ISBLANK(C353)))), "Common", "")</f>
        <v>Common</v>
      </c>
    </row>
    <row r="354" customFormat="false" ht="15.75" hidden="false" customHeight="false" outlineLevel="0" collapsed="false">
      <c r="A354" s="3" t="s">
        <v>287</v>
      </c>
      <c r="B354" s="3" t="s">
        <v>2409</v>
      </c>
      <c r="C354" s="3" t="s">
        <v>2409</v>
      </c>
      <c r="D354" s="4" t="str">
        <f aca="false">IF(AND(EXACT(B354,C354),NOT(AND(ISBLANK(B354),ISBLANK(C354)))), "Common", "")</f>
        <v>Common</v>
      </c>
    </row>
    <row r="355" customFormat="false" ht="15.75" hidden="false" customHeight="false" outlineLevel="0" collapsed="false">
      <c r="A355" s="3" t="s">
        <v>287</v>
      </c>
      <c r="B355" s="3" t="s">
        <v>2411</v>
      </c>
      <c r="C355" s="3" t="s">
        <v>2411</v>
      </c>
      <c r="D355" s="4" t="str">
        <f aca="false">IF(AND(EXACT(B355,C355),NOT(AND(ISBLANK(B355),ISBLANK(C355)))), "Common", "")</f>
        <v>Common</v>
      </c>
    </row>
    <row r="356" customFormat="false" ht="15.75" hidden="false" customHeight="false" outlineLevel="0" collapsed="false">
      <c r="A356" s="3" t="s">
        <v>287</v>
      </c>
      <c r="B356" s="3" t="s">
        <v>2413</v>
      </c>
      <c r="C356" s="3" t="s">
        <v>2413</v>
      </c>
      <c r="D356" s="4" t="str">
        <f aca="false">IF(AND(EXACT(B356,C356),NOT(AND(ISBLANK(B356),ISBLANK(C356)))), "Common", "")</f>
        <v>Common</v>
      </c>
    </row>
    <row r="357" customFormat="false" ht="15.75" hidden="false" customHeight="false" outlineLevel="0" collapsed="false">
      <c r="A357" s="3" t="s">
        <v>287</v>
      </c>
      <c r="B357" s="3"/>
      <c r="C357" s="3" t="s">
        <v>2507</v>
      </c>
      <c r="D357" s="4" t="str">
        <f aca="false">IF(AND(EXACT(B357,C357),NOT(AND(ISBLANK(B357),ISBLANK(C357)))), "Common", "")</f>
        <v/>
      </c>
    </row>
    <row r="358" customFormat="false" ht="15.75" hidden="false" customHeight="false" outlineLevel="0" collapsed="false">
      <c r="A358" s="3" t="s">
        <v>287</v>
      </c>
      <c r="B358" s="3"/>
      <c r="C358" s="3" t="s">
        <v>2510</v>
      </c>
      <c r="D358" s="4" t="str">
        <f aca="false">IF(AND(EXACT(B358,C358),NOT(AND(ISBLANK(B358),ISBLANK(C358)))), "Common", "")</f>
        <v/>
      </c>
    </row>
    <row r="359" customFormat="false" ht="15.75" hidden="false" customHeight="false" outlineLevel="0" collapsed="false">
      <c r="A359" s="3" t="s">
        <v>287</v>
      </c>
      <c r="B359" s="3"/>
      <c r="C359" s="3" t="s">
        <v>2512</v>
      </c>
      <c r="D359" s="4" t="str">
        <f aca="false">IF(AND(EXACT(B359,C359),NOT(AND(ISBLANK(B359),ISBLANK(C359)))), "Common", "")</f>
        <v/>
      </c>
    </row>
    <row r="360" customFormat="false" ht="15.75" hidden="false" customHeight="false" outlineLevel="0" collapsed="false">
      <c r="A360" s="3" t="s">
        <v>287</v>
      </c>
      <c r="B360" s="3"/>
      <c r="C360" s="3" t="s">
        <v>2514</v>
      </c>
      <c r="D360" s="4" t="str">
        <f aca="false">IF(AND(EXACT(B360,C360),NOT(AND(ISBLANK(B360),ISBLANK(C360)))), "Common", "")</f>
        <v/>
      </c>
    </row>
    <row r="361" customFormat="false" ht="15.75" hidden="false" customHeight="false" outlineLevel="0" collapsed="false">
      <c r="A361" s="3" t="s">
        <v>287</v>
      </c>
      <c r="B361" s="3"/>
      <c r="C361" s="3" t="s">
        <v>2516</v>
      </c>
      <c r="D361" s="4" t="str">
        <f aca="false">IF(AND(EXACT(B361,C361),NOT(AND(ISBLANK(B361),ISBLANK(C361)))), "Common", "")</f>
        <v/>
      </c>
    </row>
    <row r="362" customFormat="false" ht="15.75" hidden="false" customHeight="false" outlineLevel="0" collapsed="false">
      <c r="A362" s="3" t="s">
        <v>287</v>
      </c>
      <c r="B362" s="3" t="s">
        <v>2521</v>
      </c>
      <c r="C362" s="3" t="s">
        <v>2521</v>
      </c>
      <c r="D362" s="4" t="str">
        <f aca="false">IF(AND(EXACT(B362,C362),NOT(AND(ISBLANK(B362),ISBLANK(C362)))), "Common", "")</f>
        <v>Common</v>
      </c>
    </row>
    <row r="363" customFormat="false" ht="15.75" hidden="false" customHeight="false" outlineLevel="0" collapsed="false">
      <c r="A363" s="3" t="s">
        <v>287</v>
      </c>
      <c r="C363" s="3" t="s">
        <v>2611</v>
      </c>
      <c r="D363" s="4" t="str">
        <f aca="false">IF(AND(EXACT(B363,C363),NOT(AND(ISBLANK(B363),ISBLANK(C363)))), "Common", "")</f>
        <v/>
      </c>
    </row>
    <row r="364" customFormat="false" ht="15.75" hidden="false" customHeight="false" outlineLevel="0" collapsed="false">
      <c r="A364" s="3" t="s">
        <v>287</v>
      </c>
      <c r="B364" s="3"/>
      <c r="C364" s="17" t="s">
        <v>1951</v>
      </c>
      <c r="D364" s="4" t="str">
        <f aca="false">IF(AND(EXACT(B364,C364),NOT(AND(ISBLANK(B364),ISBLANK(C364)))), "Common", "")</f>
        <v/>
      </c>
    </row>
    <row r="365" customFormat="false" ht="15.75" hidden="false" customHeight="false" outlineLevel="0" collapsed="false">
      <c r="A365" s="3" t="s">
        <v>287</v>
      </c>
      <c r="B365" s="3" t="s">
        <v>2403</v>
      </c>
      <c r="C365" s="3"/>
      <c r="D365" s="4" t="str">
        <f aca="false">IF(AND(EXACT(B365,C365),NOT(AND(ISBLANK(B365),ISBLANK(C365)))), "Common", "")</f>
        <v/>
      </c>
    </row>
    <row r="366" customFormat="false" ht="15.75" hidden="false" customHeight="false" outlineLevel="0" collapsed="false">
      <c r="A366" s="3" t="s">
        <v>2663</v>
      </c>
      <c r="B366" s="3" t="s">
        <v>1770</v>
      </c>
      <c r="C366" s="3" t="s">
        <v>1770</v>
      </c>
      <c r="D366" s="4" t="str">
        <f aca="false">IF(AND(EXACT(B366,C366),NOT(AND(ISBLANK(B366),ISBLANK(C366)))), "Common", "")</f>
        <v>Common</v>
      </c>
    </row>
    <row r="367" customFormat="false" ht="15.75" hidden="false" customHeight="false" outlineLevel="0" collapsed="false">
      <c r="A367" s="3" t="s">
        <v>2664</v>
      </c>
      <c r="B367" s="3" t="s">
        <v>1552</v>
      </c>
      <c r="C367" s="3" t="s">
        <v>1552</v>
      </c>
      <c r="D367" s="4" t="str">
        <f aca="false">IF(AND(EXACT(B367,C367),NOT(AND(ISBLANK(B367),ISBLANK(C367)))), "Common", "")</f>
        <v>Common</v>
      </c>
    </row>
    <row r="368" customFormat="false" ht="15.75" hidden="false" customHeight="false" outlineLevel="0" collapsed="false">
      <c r="A368" s="3" t="s">
        <v>2665</v>
      </c>
      <c r="B368" s="3" t="s">
        <v>2070</v>
      </c>
      <c r="C368" s="3"/>
      <c r="D368" s="4" t="str">
        <f aca="false">IF(AND(EXACT(B368,C368),NOT(AND(ISBLANK(B368),ISBLANK(C368)))), "Common", "")</f>
        <v/>
      </c>
    </row>
    <row r="369" customFormat="false" ht="15.75" hidden="false" customHeight="false" outlineLevel="0" collapsed="false">
      <c r="A369" s="3" t="s">
        <v>2665</v>
      </c>
      <c r="B369" s="3"/>
      <c r="C369" s="3" t="s">
        <v>1978</v>
      </c>
      <c r="D369" s="4" t="str">
        <f aca="false">IF(AND(EXACT(B369,C369),NOT(AND(ISBLANK(B369),ISBLANK(C369)))), "Common", "")</f>
        <v/>
      </c>
    </row>
    <row r="370" customFormat="false" ht="15.75" hidden="false" customHeight="false" outlineLevel="0" collapsed="false">
      <c r="A370" s="3" t="s">
        <v>2665</v>
      </c>
      <c r="B370" s="3"/>
      <c r="C370" s="3" t="s">
        <v>1984</v>
      </c>
      <c r="D370" s="4" t="str">
        <f aca="false">IF(AND(EXACT(B370,C370),NOT(AND(ISBLANK(B370),ISBLANK(C370)))), "Common", "")</f>
        <v/>
      </c>
    </row>
    <row r="371" customFormat="false" ht="15.75" hidden="false" customHeight="false" outlineLevel="0" collapsed="false">
      <c r="A371" s="3" t="s">
        <v>2665</v>
      </c>
      <c r="B371" s="3" t="s">
        <v>2264</v>
      </c>
      <c r="C371" s="3"/>
      <c r="D371" s="4" t="str">
        <f aca="false">IF(AND(EXACT(B371,C371),NOT(AND(ISBLANK(B371),ISBLANK(C371)))), "Common", "")</f>
        <v/>
      </c>
    </row>
    <row r="372" customFormat="false" ht="15.75" hidden="false" customHeight="false" outlineLevel="0" collapsed="false">
      <c r="A372" s="3" t="s">
        <v>2664</v>
      </c>
      <c r="B372" s="3" t="s">
        <v>2346</v>
      </c>
      <c r="C372" s="3" t="s">
        <v>2346</v>
      </c>
      <c r="D372" s="4" t="str">
        <f aca="false">IF(AND(EXACT(B372,C372),NOT(AND(ISBLANK(B372),ISBLANK(C372)))), "Common", "")</f>
        <v>Common</v>
      </c>
    </row>
    <row r="373" customFormat="false" ht="15.75" hidden="false" customHeight="false" outlineLevel="0" collapsed="false">
      <c r="A373" s="3" t="s">
        <v>2664</v>
      </c>
      <c r="B373" s="3" t="s">
        <v>2299</v>
      </c>
      <c r="C373" s="3"/>
      <c r="D373" s="4" t="str">
        <f aca="false">IF(AND(EXACT(B373,C373),NOT(AND(ISBLANK(B373),ISBLANK(C373)))), "Common", "")</f>
        <v/>
      </c>
    </row>
    <row r="374" customFormat="false" ht="15.75" hidden="false" customHeight="false" outlineLevel="0" collapsed="false">
      <c r="A374" s="3" t="s">
        <v>2664</v>
      </c>
      <c r="B374" s="3" t="s">
        <v>2315</v>
      </c>
      <c r="C374" s="3"/>
      <c r="D374" s="4" t="str">
        <f aca="false">IF(AND(EXACT(B374,C374),NOT(AND(ISBLANK(B374),ISBLANK(C374)))), "Common", "")</f>
        <v/>
      </c>
    </row>
    <row r="375" customFormat="false" ht="15.75" hidden="false" customHeight="false" outlineLevel="0" collapsed="false">
      <c r="A375" s="3" t="s">
        <v>2664</v>
      </c>
      <c r="B375" s="3" t="s">
        <v>2383</v>
      </c>
      <c r="D375" s="4" t="str">
        <f aca="false">IF(AND(EXACT(B375,C375),NOT(AND(ISBLANK(B375),ISBLANK(C375)))), "Common", "")</f>
        <v/>
      </c>
    </row>
    <row r="376" customFormat="false" ht="15.75" hidden="false" customHeight="false" outlineLevel="0" collapsed="false">
      <c r="A376" s="3" t="s">
        <v>2664</v>
      </c>
      <c r="C376" s="3" t="s">
        <v>2554</v>
      </c>
      <c r="D376" s="4" t="str">
        <f aca="false">IF(AND(EXACT(B376,C376),NOT(AND(ISBLANK(B376),ISBLANK(C376)))), "Common", "")</f>
        <v/>
      </c>
    </row>
    <row r="377" customFormat="false" ht="15.75" hidden="false" customHeight="false" outlineLevel="0" collapsed="false">
      <c r="A377" s="3" t="s">
        <v>2664</v>
      </c>
      <c r="C377" s="3" t="s">
        <v>2545</v>
      </c>
      <c r="D377" s="4" t="str">
        <f aca="false">IF(AND(EXACT(B377,C377),NOT(AND(ISBLANK(B377),ISBLANK(C377)))), "Common", "")</f>
        <v/>
      </c>
    </row>
    <row r="378" customFormat="false" ht="15.75" hidden="false" customHeight="false" outlineLevel="0" collapsed="false">
      <c r="A378" s="3" t="s">
        <v>2664</v>
      </c>
      <c r="C378" s="3" t="s">
        <v>2550</v>
      </c>
      <c r="D378" s="4" t="str">
        <f aca="false">IF(AND(EXACT(B378,C378),NOT(AND(ISBLANK(B378),ISBLANK(C378)))), "Common", "")</f>
        <v/>
      </c>
    </row>
    <row r="379" customFormat="false" ht="15.75" hidden="false" customHeight="false" outlineLevel="0" collapsed="false">
      <c r="A379" s="3" t="s">
        <v>2664</v>
      </c>
      <c r="C379" s="3" t="s">
        <v>2547</v>
      </c>
      <c r="D379" s="4" t="str">
        <f aca="false">IF(AND(EXACT(B379,C379),NOT(AND(ISBLANK(B379),ISBLANK(C379)))), "Common", "")</f>
        <v/>
      </c>
    </row>
    <row r="380" customFormat="false" ht="15.75" hidden="false" customHeight="false" outlineLevel="0" collapsed="false">
      <c r="A380" s="3" t="s">
        <v>2664</v>
      </c>
      <c r="C380" s="3" t="s">
        <v>2535</v>
      </c>
      <c r="D380" s="4" t="str">
        <f aca="false">IF(AND(EXACT(B380,C380),NOT(AND(ISBLANK(B380),ISBLANK(C380)))), "Common", "")</f>
        <v/>
      </c>
    </row>
    <row r="381" customFormat="false" ht="15.75" hidden="false" customHeight="false" outlineLevel="0" collapsed="false">
      <c r="A381" s="3" t="s">
        <v>2664</v>
      </c>
      <c r="B381" s="17" t="s">
        <v>2472</v>
      </c>
      <c r="C381" s="17" t="s">
        <v>2472</v>
      </c>
      <c r="D381" s="4" t="str">
        <f aca="false">IF(AND(EXACT(B381,C381),NOT(AND(ISBLANK(B381),ISBLANK(C381)))), "Common", "")</f>
        <v>Common</v>
      </c>
    </row>
    <row r="382" customFormat="false" ht="15.75" hidden="false" customHeight="false" outlineLevel="0" collapsed="false">
      <c r="A382" s="3" t="s">
        <v>2664</v>
      </c>
      <c r="C382" s="17" t="s">
        <v>1942</v>
      </c>
      <c r="D382" s="4" t="str">
        <f aca="false">IF(AND(EXACT(B382,C382),NOT(AND(ISBLANK(B382),ISBLANK(C382)))), "Common", "")</f>
        <v/>
      </c>
    </row>
    <row r="383" customFormat="false" ht="15.75" hidden="false" customHeight="false" outlineLevel="0" collapsed="false">
      <c r="A383" s="3" t="s">
        <v>2665</v>
      </c>
      <c r="B383" s="17" t="s">
        <v>1999</v>
      </c>
      <c r="C383" s="17" t="s">
        <v>1999</v>
      </c>
      <c r="D383" s="4" t="str">
        <f aca="false">IF(AND(EXACT(B383,C383),NOT(AND(ISBLANK(B383),ISBLANK(C383)))), "Common", "")</f>
        <v>Common</v>
      </c>
    </row>
    <row r="384" customFormat="false" ht="15.75" hidden="false" customHeight="false" outlineLevel="0" collapsed="false">
      <c r="A384" s="3" t="s">
        <v>2666</v>
      </c>
      <c r="C384" s="3" t="s">
        <v>1504</v>
      </c>
      <c r="D384" s="4" t="str">
        <f aca="false">IF(AND(EXACT(B384,C384),NOT(AND(ISBLANK(B384),ISBLANK(C384)))), "Common", "")</f>
        <v/>
      </c>
    </row>
    <row r="385" customFormat="false" ht="15.75" hidden="false" customHeight="false" outlineLevel="0" collapsed="false">
      <c r="A385" s="3" t="s">
        <v>2666</v>
      </c>
      <c r="B385" s="3" t="s">
        <v>2320</v>
      </c>
      <c r="C385" s="3" t="s">
        <v>2320</v>
      </c>
      <c r="D385" s="4" t="str">
        <f aca="false">IF(AND(EXACT(B385,C385),NOT(AND(ISBLANK(B385),ISBLANK(C385)))), "Common", "")</f>
        <v>Common</v>
      </c>
    </row>
    <row r="386" customFormat="false" ht="15.75" hidden="false" customHeight="false" outlineLevel="0" collapsed="false">
      <c r="A386" s="3" t="s">
        <v>2666</v>
      </c>
      <c r="B386" s="3" t="s">
        <v>2343</v>
      </c>
      <c r="C386" s="3"/>
      <c r="D386" s="4" t="str">
        <f aca="false">IF(AND(EXACT(B386,C386),NOT(AND(ISBLANK(B386),ISBLANK(C386)))), "Common", "")</f>
        <v/>
      </c>
    </row>
    <row r="387" customFormat="false" ht="15.75" hidden="false" customHeight="false" outlineLevel="0" collapsed="false">
      <c r="A387" s="3" t="s">
        <v>2667</v>
      </c>
      <c r="C387" s="3" t="s">
        <v>2618</v>
      </c>
      <c r="D387" s="4" t="str">
        <f aca="false">IF(AND(EXACT(B387,C387),NOT(AND(ISBLANK(B387),ISBLANK(C387)))), "Common", "")</f>
        <v/>
      </c>
    </row>
    <row r="388" customFormat="false" ht="15.75" hidden="false" customHeight="false" outlineLevel="0" collapsed="false">
      <c r="A388" s="3" t="s">
        <v>2667</v>
      </c>
      <c r="B388" s="3" t="s">
        <v>2074</v>
      </c>
      <c r="D388" s="4" t="str">
        <f aca="false">IF(AND(EXACT(B388,C388),NOT(AND(ISBLANK(B388),ISBLANK(C388)))), "Common", "")</f>
        <v/>
      </c>
    </row>
    <row r="389" customFormat="false" ht="15.75" hidden="false" customHeight="false" outlineLevel="0" collapsed="false">
      <c r="A389" s="3" t="s">
        <v>2667</v>
      </c>
      <c r="C389" s="3" t="s">
        <v>2481</v>
      </c>
      <c r="D389" s="4" t="str">
        <f aca="false">IF(AND(EXACT(B389,C389),NOT(AND(ISBLANK(B389),ISBLANK(C389)))), "Common", "")</f>
        <v/>
      </c>
    </row>
    <row r="390" customFormat="false" ht="15.75" hidden="false" customHeight="false" outlineLevel="0" collapsed="false">
      <c r="A390" s="3" t="s">
        <v>2668</v>
      </c>
      <c r="B390" s="3"/>
      <c r="C390" s="3" t="s">
        <v>1762</v>
      </c>
      <c r="D390" s="4" t="str">
        <f aca="false">IF(AND(EXACT(B390,C390),NOT(AND(ISBLANK(B390),ISBLANK(C390)))), "Common", "")</f>
        <v/>
      </c>
    </row>
    <row r="391" customFormat="false" ht="15.75" hidden="false" customHeight="false" outlineLevel="0" collapsed="false">
      <c r="A391" s="3" t="s">
        <v>2669</v>
      </c>
      <c r="B391" s="3" t="s">
        <v>2076</v>
      </c>
      <c r="C391" s="3" t="s">
        <v>1985</v>
      </c>
      <c r="D391" s="4" t="str">
        <f aca="false">IF(AND(EXACT(B391,C391),NOT(AND(ISBLANK(B391),ISBLANK(C391)))), "Common", "")</f>
        <v/>
      </c>
    </row>
    <row r="392" customFormat="false" ht="15.75" hidden="false" customHeight="false" outlineLevel="0" collapsed="false">
      <c r="A392" s="3" t="s">
        <v>2669</v>
      </c>
      <c r="B392" s="3" t="s">
        <v>1501</v>
      </c>
      <c r="D392" s="4" t="str">
        <f aca="false">IF(AND(EXACT(B392,C392),NOT(AND(ISBLANK(B392),ISBLANK(C392)))), "Common", "")</f>
        <v/>
      </c>
    </row>
    <row r="393" customFormat="false" ht="15.75" hidden="false" customHeight="false" outlineLevel="0" collapsed="false">
      <c r="A393" s="3" t="s">
        <v>2669</v>
      </c>
      <c r="B393" s="3" t="s">
        <v>1489</v>
      </c>
      <c r="D393" s="4" t="str">
        <f aca="false">IF(AND(EXACT(B393,C393),NOT(AND(ISBLANK(B393),ISBLANK(C393)))), "Common", "")</f>
        <v/>
      </c>
    </row>
    <row r="394" customFormat="false" ht="15.75" hidden="false" customHeight="false" outlineLevel="0" collapsed="false">
      <c r="A394" s="3" t="s">
        <v>2669</v>
      </c>
      <c r="B394" s="3" t="s">
        <v>1515</v>
      </c>
      <c r="C394" s="3" t="s">
        <v>2620</v>
      </c>
      <c r="D394" s="4" t="str">
        <f aca="false">IF(AND(EXACT(B394,C394),NOT(AND(ISBLANK(B394),ISBLANK(C394)))), "Common", "")</f>
        <v/>
      </c>
    </row>
    <row r="395" customFormat="false" ht="15.75" hidden="false" customHeight="false" outlineLevel="0" collapsed="false">
      <c r="A395" s="3" t="s">
        <v>2669</v>
      </c>
      <c r="B395" s="3" t="s">
        <v>2076</v>
      </c>
      <c r="C395" s="3" t="s">
        <v>1985</v>
      </c>
      <c r="D395" s="4" t="str">
        <f aca="false">IF(AND(EXACT(B395,C395),NOT(AND(ISBLANK(B395),ISBLANK(C395)))), "Common", "")</f>
        <v/>
      </c>
    </row>
    <row r="396" customFormat="false" ht="15.75" hidden="false" customHeight="false" outlineLevel="0" collapsed="false">
      <c r="A396" s="3" t="s">
        <v>2670</v>
      </c>
      <c r="B396" s="3" t="s">
        <v>2328</v>
      </c>
      <c r="C396" s="3" t="s">
        <v>2328</v>
      </c>
      <c r="D396" s="4" t="str">
        <f aca="false">IF(AND(EXACT(B396,C396),NOT(AND(ISBLANK(B396),ISBLANK(C396)))), "Common", "")</f>
        <v>Common</v>
      </c>
    </row>
    <row r="397" customFormat="false" ht="15.75" hidden="false" customHeight="false" outlineLevel="0" collapsed="false">
      <c r="A397" s="3" t="s">
        <v>2670</v>
      </c>
      <c r="B397" s="3" t="s">
        <v>2444</v>
      </c>
      <c r="C397" s="3"/>
      <c r="D397" s="4" t="str">
        <f aca="false">IF(AND(EXACT(B397,C397),NOT(AND(ISBLANK(B397),ISBLANK(C397)))), "Common", "")</f>
        <v/>
      </c>
    </row>
    <row r="398" customFormat="false" ht="15.75" hidden="false" customHeight="false" outlineLevel="0" collapsed="false">
      <c r="A398" s="3" t="s">
        <v>2670</v>
      </c>
      <c r="B398" s="3"/>
      <c r="C398" s="3" t="s">
        <v>2546</v>
      </c>
      <c r="D398" s="4" t="str">
        <f aca="false">IF(AND(EXACT(B398,C398),NOT(AND(ISBLANK(B398),ISBLANK(C398)))), "Common", "")</f>
        <v/>
      </c>
    </row>
    <row r="399" customFormat="false" ht="15.75" hidden="false" customHeight="false" outlineLevel="0" collapsed="false">
      <c r="A399" s="3" t="s">
        <v>2669</v>
      </c>
      <c r="B399" s="3"/>
      <c r="C399" s="3" t="s">
        <v>2616</v>
      </c>
      <c r="D399" s="4" t="str">
        <f aca="false">IF(AND(EXACT(B399,C399),NOT(AND(ISBLANK(B399),ISBLANK(C399)))), "Common", "")</f>
        <v/>
      </c>
    </row>
    <row r="400" customFormat="false" ht="15.75" hidden="false" customHeight="false" outlineLevel="0" collapsed="false">
      <c r="A400" s="3" t="s">
        <v>2671</v>
      </c>
      <c r="B400" s="3" t="s">
        <v>1494</v>
      </c>
      <c r="C400" s="3" t="s">
        <v>1494</v>
      </c>
      <c r="D400" s="4" t="str">
        <f aca="false">IF(AND(EXACT(B400,C400),NOT(AND(ISBLANK(B400),ISBLANK(C400)))), "Common", "")</f>
        <v>Common</v>
      </c>
    </row>
    <row r="401" customFormat="false" ht="15.75" hidden="false" customHeight="false" outlineLevel="0" collapsed="false">
      <c r="A401" s="3" t="s">
        <v>2671</v>
      </c>
      <c r="B401" s="3" t="s">
        <v>1508</v>
      </c>
      <c r="C401" s="3" t="s">
        <v>1508</v>
      </c>
      <c r="D401" s="4" t="str">
        <f aca="false">IF(AND(EXACT(B401,C401),NOT(AND(ISBLANK(B401),ISBLANK(C401)))), "Common", "")</f>
        <v>Common</v>
      </c>
    </row>
    <row r="402" customFormat="false" ht="15.75" hidden="false" customHeight="false" outlineLevel="0" collapsed="false">
      <c r="A402" s="3" t="s">
        <v>2671</v>
      </c>
      <c r="B402" s="3" t="s">
        <v>1981</v>
      </c>
      <c r="C402" s="3" t="s">
        <v>1981</v>
      </c>
      <c r="D402" s="4" t="str">
        <f aca="false">IF(AND(EXACT(B402,C402),NOT(AND(ISBLANK(B402),ISBLANK(C402)))), "Common", "")</f>
        <v>Common</v>
      </c>
    </row>
    <row r="403" customFormat="false" ht="15.75" hidden="false" customHeight="false" outlineLevel="0" collapsed="false">
      <c r="A403" s="3" t="s">
        <v>660</v>
      </c>
      <c r="B403" s="3" t="s">
        <v>2375</v>
      </c>
      <c r="C403" s="3" t="s">
        <v>2375</v>
      </c>
      <c r="D403" s="4" t="str">
        <f aca="false">IF(AND(EXACT(B403,C403),NOT(AND(ISBLANK(B403),ISBLANK(C403)))), "Common", "")</f>
        <v>Common</v>
      </c>
    </row>
    <row r="404" customFormat="false" ht="15.75" hidden="false" customHeight="false" outlineLevel="0" collapsed="false">
      <c r="A404" s="3" t="s">
        <v>660</v>
      </c>
      <c r="B404" s="3" t="s">
        <v>2292</v>
      </c>
      <c r="C404" s="3" t="s">
        <v>2292</v>
      </c>
      <c r="D404" s="4" t="str">
        <f aca="false">IF(AND(EXACT(B404,C404),NOT(AND(ISBLANK(B404),ISBLANK(C404)))), "Common", "")</f>
        <v>Common</v>
      </c>
    </row>
    <row r="405" customFormat="false" ht="15.75" hidden="false" customHeight="false" outlineLevel="0" collapsed="false">
      <c r="A405" s="3" t="s">
        <v>660</v>
      </c>
      <c r="B405" s="3" t="s">
        <v>2377</v>
      </c>
      <c r="C405" s="3"/>
      <c r="D405" s="4" t="str">
        <f aca="false">IF(AND(EXACT(B405,C405),NOT(AND(ISBLANK(B405),ISBLANK(C405)))), "Common", "")</f>
        <v/>
      </c>
    </row>
    <row r="406" customFormat="false" ht="15.75" hidden="false" customHeight="false" outlineLevel="0" collapsed="false">
      <c r="A406" s="3" t="s">
        <v>2671</v>
      </c>
      <c r="B406" s="3" t="s">
        <v>1730</v>
      </c>
      <c r="C406" s="3" t="s">
        <v>1730</v>
      </c>
      <c r="D406" s="4" t="str">
        <f aca="false">IF(AND(EXACT(B406,C406),NOT(AND(ISBLANK(B406),ISBLANK(C406)))), "Common", "")</f>
        <v>Common</v>
      </c>
    </row>
    <row r="407" customFormat="false" ht="15.75" hidden="false" customHeight="false" outlineLevel="0" collapsed="false">
      <c r="A407" s="3" t="s">
        <v>2671</v>
      </c>
      <c r="B407" s="3" t="s">
        <v>1756</v>
      </c>
      <c r="C407" s="3" t="s">
        <v>1756</v>
      </c>
      <c r="D407" s="4" t="str">
        <f aca="false">IF(AND(EXACT(B407,C407),NOT(AND(ISBLANK(B407),ISBLANK(C407)))), "Common", "")</f>
        <v>Common</v>
      </c>
    </row>
    <row r="408" customFormat="false" ht="15.75" hidden="false" customHeight="false" outlineLevel="0" collapsed="false">
      <c r="A408" s="3" t="s">
        <v>660</v>
      </c>
      <c r="B408" s="3" t="s">
        <v>2419</v>
      </c>
      <c r="C408" s="3" t="s">
        <v>2419</v>
      </c>
      <c r="D408" s="4" t="str">
        <f aca="false">IF(AND(EXACT(B408,C408),NOT(AND(ISBLANK(B408),ISBLANK(C408)))), "Common", "")</f>
        <v>Common</v>
      </c>
    </row>
    <row r="409" customFormat="false" ht="15.75" hidden="false" customHeight="false" outlineLevel="0" collapsed="false">
      <c r="A409" s="3" t="s">
        <v>660</v>
      </c>
      <c r="B409" s="3" t="s">
        <v>2417</v>
      </c>
      <c r="C409" s="3" t="s">
        <v>2417</v>
      </c>
      <c r="D409" s="4" t="str">
        <f aca="false">IF(AND(EXACT(B409,C409),NOT(AND(ISBLANK(B409),ISBLANK(C409)))), "Common", "")</f>
        <v>Common</v>
      </c>
    </row>
    <row r="410" customFormat="false" ht="15.75" hidden="false" customHeight="false" outlineLevel="0" collapsed="false">
      <c r="A410" s="3" t="s">
        <v>2672</v>
      </c>
      <c r="C410" s="3" t="s">
        <v>1488</v>
      </c>
      <c r="D410" s="4" t="str">
        <f aca="false">IF(AND(EXACT(B410,C410),NOT(AND(ISBLANK(B410),ISBLANK(C410)))), "Common", "")</f>
        <v/>
      </c>
    </row>
    <row r="411" customFormat="false" ht="15.75" hidden="false" customHeight="false" outlineLevel="0" collapsed="false">
      <c r="A411" s="3" t="s">
        <v>2672</v>
      </c>
      <c r="B411" s="3" t="s">
        <v>2087</v>
      </c>
      <c r="C411" s="3"/>
      <c r="D411" s="4" t="str">
        <f aca="false">IF(AND(EXACT(B411,C411),NOT(AND(ISBLANK(B411),ISBLANK(C411)))), "Common", "")</f>
        <v/>
      </c>
    </row>
    <row r="412" customFormat="false" ht="15.75" hidden="false" customHeight="false" outlineLevel="0" collapsed="false">
      <c r="A412" s="3" t="s">
        <v>2673</v>
      </c>
      <c r="B412" s="3" t="s">
        <v>2389</v>
      </c>
      <c r="C412" s="3" t="s">
        <v>2389</v>
      </c>
      <c r="D412" s="4" t="str">
        <f aca="false">IF(AND(EXACT(B412,C412),NOT(AND(ISBLANK(B412),ISBLANK(C412)))), "Common", "")</f>
        <v>Common</v>
      </c>
    </row>
    <row r="413" customFormat="false" ht="15.75" hidden="false" customHeight="false" outlineLevel="0" collapsed="false">
      <c r="A413" s="3" t="s">
        <v>2674</v>
      </c>
      <c r="C413" s="3" t="s">
        <v>1971</v>
      </c>
      <c r="D413" s="4" t="str">
        <f aca="false">IF(AND(EXACT(B413,C413),NOT(AND(ISBLANK(B413),ISBLANK(C413)))), "Common", "")</f>
        <v/>
      </c>
    </row>
    <row r="414" customFormat="false" ht="15.75" hidden="false" customHeight="false" outlineLevel="0" collapsed="false">
      <c r="A414" s="3" t="s">
        <v>2675</v>
      </c>
      <c r="B414" s="3" t="s">
        <v>2358</v>
      </c>
      <c r="C414" s="3" t="s">
        <v>2358</v>
      </c>
      <c r="D414" s="4" t="str">
        <f aca="false">IF(AND(EXACT(B414,C414),NOT(AND(ISBLANK(B414),ISBLANK(C414)))), "Common", "")</f>
        <v>Common</v>
      </c>
    </row>
    <row r="415" customFormat="false" ht="15.75" hidden="false" customHeight="false" outlineLevel="0" collapsed="false">
      <c r="A415" s="3" t="s">
        <v>2675</v>
      </c>
      <c r="B415" s="3" t="s">
        <v>2308</v>
      </c>
      <c r="D415" s="4" t="str">
        <f aca="false">IF(AND(EXACT(B415,C415),NOT(AND(ISBLANK(B415),ISBLANK(C415)))), "Common", "")</f>
        <v/>
      </c>
    </row>
    <row r="416" customFormat="false" ht="15.75" hidden="false" customHeight="false" outlineLevel="0" collapsed="false">
      <c r="A416" s="3" t="s">
        <v>2675</v>
      </c>
      <c r="B416" s="3" t="s">
        <v>2309</v>
      </c>
      <c r="C416" s="3"/>
      <c r="D416" s="4" t="str">
        <f aca="false">IF(AND(EXACT(B416,C416),NOT(AND(ISBLANK(B416),ISBLANK(C416)))), "Common", "")</f>
        <v/>
      </c>
    </row>
    <row r="417" customFormat="false" ht="15.75" hidden="false" customHeight="false" outlineLevel="0" collapsed="false">
      <c r="A417" s="3" t="s">
        <v>2675</v>
      </c>
      <c r="B417" s="3" t="s">
        <v>2354</v>
      </c>
      <c r="C417" s="3"/>
      <c r="D417" s="4" t="str">
        <f aca="false">IF(AND(EXACT(B417,C417),NOT(AND(ISBLANK(B417),ISBLANK(C417)))), "Common", "")</f>
        <v/>
      </c>
    </row>
    <row r="418" customFormat="false" ht="15.75" hidden="false" customHeight="false" outlineLevel="0" collapsed="false">
      <c r="A418" s="3" t="s">
        <v>2675</v>
      </c>
      <c r="B418" s="3" t="s">
        <v>2360</v>
      </c>
      <c r="D418" s="4" t="str">
        <f aca="false">IF(AND(EXACT(B418,C418),NOT(AND(ISBLANK(B418),ISBLANK(C418)))), "Common", "")</f>
        <v/>
      </c>
    </row>
    <row r="419" customFormat="false" ht="15.75" hidden="false" customHeight="false" outlineLevel="0" collapsed="false">
      <c r="A419" s="3" t="s">
        <v>2675</v>
      </c>
      <c r="C419" s="3" t="s">
        <v>2543</v>
      </c>
      <c r="D419" s="4" t="str">
        <f aca="false">IF(AND(EXACT(B419,C419),NOT(AND(ISBLANK(B419),ISBLANK(C419)))), "Common", "")</f>
        <v/>
      </c>
    </row>
    <row r="420" customFormat="false" ht="15.75" hidden="false" customHeight="false" outlineLevel="0" collapsed="false">
      <c r="A420" s="3" t="s">
        <v>2676</v>
      </c>
      <c r="B420" s="3" t="s">
        <v>1734</v>
      </c>
      <c r="C420" s="3" t="s">
        <v>1734</v>
      </c>
      <c r="D420" s="4" t="str">
        <f aca="false">IF(AND(EXACT(B420,C420),NOT(AND(ISBLANK(B420),ISBLANK(C420)))), "Common", "")</f>
        <v>Common</v>
      </c>
    </row>
    <row r="421" customFormat="false" ht="15.75" hidden="false" customHeight="false" outlineLevel="0" collapsed="false">
      <c r="A421" s="3" t="s">
        <v>2677</v>
      </c>
      <c r="B421" s="3" t="s">
        <v>2362</v>
      </c>
      <c r="C421" s="3" t="s">
        <v>2476</v>
      </c>
      <c r="D421" s="4" t="str">
        <f aca="false">IF(AND(EXACT(B421,C421),NOT(AND(ISBLANK(B421),ISBLANK(C421)))), "Common", "")</f>
        <v/>
      </c>
    </row>
    <row r="422" customFormat="false" ht="15.75" hidden="false" customHeight="false" outlineLevel="0" collapsed="false">
      <c r="A422" s="3" t="s">
        <v>2677</v>
      </c>
      <c r="B422" s="3" t="s">
        <v>2385</v>
      </c>
      <c r="C422" s="3"/>
      <c r="D422" s="4" t="str">
        <f aca="false">IF(AND(EXACT(B422,C422),NOT(AND(ISBLANK(B422),ISBLANK(C422)))), "Common", "")</f>
        <v/>
      </c>
    </row>
    <row r="423" customFormat="false" ht="15.75" hidden="false" customHeight="false" outlineLevel="0" collapsed="false">
      <c r="A423" s="3" t="s">
        <v>2677</v>
      </c>
      <c r="B423" s="3" t="s">
        <v>2482</v>
      </c>
      <c r="D423" s="4" t="str">
        <f aca="false">IF(AND(EXACT(B423,C423),NOT(AND(ISBLANK(B423),ISBLANK(C423)))), "Common", "")</f>
        <v/>
      </c>
    </row>
    <row r="424" customFormat="false" ht="15.75" hidden="false" customHeight="false" outlineLevel="0" collapsed="false">
      <c r="A424" s="3" t="s">
        <v>2677</v>
      </c>
      <c r="B424" s="3" t="s">
        <v>2482</v>
      </c>
      <c r="C424" s="3" t="s">
        <v>2476</v>
      </c>
      <c r="D424" s="4" t="str">
        <f aca="false">IF(AND(EXACT(B424,C424),NOT(AND(ISBLANK(B424),ISBLANK(C424)))), "Common", "")</f>
        <v/>
      </c>
    </row>
    <row r="425" customFormat="false" ht="15.75" hidden="false" customHeight="false" outlineLevel="0" collapsed="false">
      <c r="A425" s="3" t="s">
        <v>2677</v>
      </c>
      <c r="B425" s="3"/>
      <c r="C425" s="17" t="s">
        <v>1941</v>
      </c>
      <c r="D425" s="4" t="str">
        <f aca="false">IF(AND(EXACT(B425,C425),NOT(AND(ISBLANK(B425),ISBLANK(C425)))), "Common", "")</f>
        <v/>
      </c>
    </row>
    <row r="426" customFormat="false" ht="15.75" hidden="false" customHeight="false" outlineLevel="0" collapsed="false">
      <c r="A426" s="3" t="s">
        <v>2677</v>
      </c>
      <c r="B426" s="3"/>
      <c r="C426" s="17" t="s">
        <v>1948</v>
      </c>
      <c r="D426" s="4" t="str">
        <f aca="false">IF(AND(EXACT(B426,C426),NOT(AND(ISBLANK(B426),ISBLANK(C426)))), "Common", "")</f>
        <v/>
      </c>
    </row>
    <row r="427" customFormat="false" ht="15.75" hidden="false" customHeight="false" outlineLevel="0" collapsed="false">
      <c r="A427" s="3" t="s">
        <v>2678</v>
      </c>
      <c r="B427" s="3" t="s">
        <v>1703</v>
      </c>
      <c r="C427" s="3" t="s">
        <v>1703</v>
      </c>
      <c r="D427" s="4" t="str">
        <f aca="false">IF(AND(EXACT(B427,C427),NOT(AND(ISBLANK(B427),ISBLANK(C427)))), "Common", "")</f>
        <v>Common</v>
      </c>
    </row>
    <row r="428" customFormat="false" ht="15.75" hidden="false" customHeight="false" outlineLevel="0" collapsed="false">
      <c r="A428" s="3" t="s">
        <v>2678</v>
      </c>
      <c r="B428" s="3" t="s">
        <v>1842</v>
      </c>
      <c r="C428" s="3" t="s">
        <v>1842</v>
      </c>
      <c r="D428" s="4" t="str">
        <f aca="false">IF(AND(EXACT(B428,C428),NOT(AND(ISBLANK(B428),ISBLANK(C428)))), "Common", "")</f>
        <v>Common</v>
      </c>
    </row>
    <row r="429" customFormat="false" ht="15.75" hidden="false" customHeight="false" outlineLevel="0" collapsed="false">
      <c r="A429" s="3" t="s">
        <v>2678</v>
      </c>
      <c r="B429" s="3" t="s">
        <v>1923</v>
      </c>
      <c r="D429" s="4" t="str">
        <f aca="false">IF(AND(EXACT(B429,C429),NOT(AND(ISBLANK(B429),ISBLANK(C429)))), "Common", "")</f>
        <v/>
      </c>
    </row>
    <row r="430" customFormat="false" ht="15.75" hidden="false" customHeight="false" outlineLevel="0" collapsed="false">
      <c r="A430" s="3" t="s">
        <v>2677</v>
      </c>
      <c r="B430" s="3" t="s">
        <v>2482</v>
      </c>
      <c r="C430" s="3" t="s">
        <v>2476</v>
      </c>
      <c r="D430" s="4" t="str">
        <f aca="false">IF(AND(EXACT(B430,C430),NOT(AND(ISBLANK(B430),ISBLANK(C430)))), "Common", "")</f>
        <v/>
      </c>
    </row>
    <row r="431" customFormat="false" ht="15.75" hidden="false" customHeight="false" outlineLevel="0" collapsed="false">
      <c r="A431" s="3" t="s">
        <v>2679</v>
      </c>
      <c r="B431" s="3" t="s">
        <v>2363</v>
      </c>
      <c r="C431" s="3" t="s">
        <v>2579</v>
      </c>
      <c r="D431" s="4" t="str">
        <f aca="false">IF(AND(EXACT(B431,C431),NOT(AND(ISBLANK(B431),ISBLANK(C431)))), "Common", "")</f>
        <v/>
      </c>
    </row>
    <row r="432" customFormat="false" ht="15.75" hidden="false" customHeight="false" outlineLevel="0" collapsed="false">
      <c r="A432" s="3" t="s">
        <v>283</v>
      </c>
      <c r="C432" s="3" t="s">
        <v>1506</v>
      </c>
      <c r="D432" s="4" t="str">
        <f aca="false">IF(AND(EXACT(B432,C432),NOT(AND(ISBLANK(B432),ISBLANK(C432)))), "Common", "")</f>
        <v/>
      </c>
    </row>
    <row r="433" customFormat="false" ht="15.75" hidden="false" customHeight="false" outlineLevel="0" collapsed="false">
      <c r="A433" s="3" t="s">
        <v>283</v>
      </c>
      <c r="B433" s="3" t="s">
        <v>2039</v>
      </c>
      <c r="C433" s="3"/>
      <c r="D433" s="4" t="str">
        <f aca="false">IF(AND(EXACT(B433,C433),NOT(AND(ISBLANK(B433),ISBLANK(C433)))), "Common", "")</f>
        <v/>
      </c>
    </row>
    <row r="434" customFormat="false" ht="15.75" hidden="false" customHeight="false" outlineLevel="0" collapsed="false">
      <c r="A434" s="3" t="s">
        <v>283</v>
      </c>
      <c r="B434" s="3"/>
      <c r="C434" s="3" t="s">
        <v>1954</v>
      </c>
      <c r="D434" s="4" t="str">
        <f aca="false">IF(AND(EXACT(B434,C434),NOT(AND(ISBLANK(B434),ISBLANK(C434)))), "Common", "")</f>
        <v/>
      </c>
    </row>
    <row r="435" customFormat="false" ht="15.75" hidden="false" customHeight="false" outlineLevel="0" collapsed="false">
      <c r="A435" s="3" t="s">
        <v>283</v>
      </c>
      <c r="B435" s="3" t="s">
        <v>1979</v>
      </c>
      <c r="C435" s="3" t="s">
        <v>1979</v>
      </c>
      <c r="D435" s="4" t="str">
        <f aca="false">IF(AND(EXACT(B435,C435),NOT(AND(ISBLANK(B435),ISBLANK(C435)))), "Common", "")</f>
        <v>Common</v>
      </c>
    </row>
    <row r="436" customFormat="false" ht="15.75" hidden="false" customHeight="false" outlineLevel="0" collapsed="false">
      <c r="A436" s="3" t="s">
        <v>281</v>
      </c>
      <c r="B436" s="3"/>
      <c r="C436" s="3" t="s">
        <v>2552</v>
      </c>
      <c r="D436" s="4" t="str">
        <f aca="false">IF(AND(EXACT(B436,C436),NOT(AND(ISBLANK(B436),ISBLANK(C436)))), "Common", "")</f>
        <v/>
      </c>
    </row>
    <row r="437" customFormat="false" ht="15.75" hidden="false" customHeight="false" outlineLevel="0" collapsed="false">
      <c r="A437" s="3" t="s">
        <v>281</v>
      </c>
      <c r="B437" s="3"/>
      <c r="C437" s="3" t="s">
        <v>2553</v>
      </c>
      <c r="D437" s="4" t="str">
        <f aca="false">IF(AND(EXACT(B437,C437),NOT(AND(ISBLANK(B437),ISBLANK(C437)))), "Common", "")</f>
        <v/>
      </c>
    </row>
    <row r="438" customFormat="false" ht="15.75" hidden="false" customHeight="false" outlineLevel="0" collapsed="false">
      <c r="A438" s="3" t="s">
        <v>281</v>
      </c>
      <c r="B438" s="3" t="s">
        <v>2365</v>
      </c>
      <c r="C438" s="3" t="s">
        <v>2365</v>
      </c>
      <c r="D438" s="4" t="str">
        <f aca="false">IF(AND(EXACT(B438,C438),NOT(AND(ISBLANK(B438),ISBLANK(C438)))), "Common", "")</f>
        <v>Common</v>
      </c>
    </row>
    <row r="439" customFormat="false" ht="15.75" hidden="false" customHeight="false" outlineLevel="0" collapsed="false">
      <c r="A439" s="3" t="s">
        <v>281</v>
      </c>
      <c r="B439" s="3"/>
      <c r="C439" s="3" t="s">
        <v>2549</v>
      </c>
      <c r="D439" s="4" t="str">
        <f aca="false">IF(AND(EXACT(B439,C439),NOT(AND(ISBLANK(B439),ISBLANK(C439)))), "Common", "")</f>
        <v/>
      </c>
    </row>
    <row r="440" customFormat="false" ht="15.75" hidden="false" customHeight="false" outlineLevel="0" collapsed="false">
      <c r="A440" s="3" t="s">
        <v>279</v>
      </c>
      <c r="B440" s="3"/>
      <c r="C440" s="3" t="s">
        <v>2478</v>
      </c>
      <c r="D440" s="4" t="str">
        <f aca="false">IF(AND(EXACT(B440,C440),NOT(AND(ISBLANK(B440),ISBLANK(C440)))), "Common", "")</f>
        <v/>
      </c>
    </row>
    <row r="441" customFormat="false" ht="15.75" hidden="false" customHeight="false" outlineLevel="0" collapsed="false">
      <c r="A441" s="4"/>
    </row>
    <row r="442" customFormat="false" ht="15.75" hidden="false" customHeight="false" outlineLevel="0" collapsed="false">
      <c r="A442" s="4"/>
    </row>
    <row r="443" customFormat="false" ht="15.75" hidden="false" customHeight="false" outlineLevel="0" collapsed="false">
      <c r="A443" s="3" t="s">
        <v>281</v>
      </c>
      <c r="B443" s="3"/>
      <c r="C443" s="3" t="s">
        <v>2609</v>
      </c>
      <c r="D443" s="4" t="str">
        <f aca="false">IF(AND(EXACT(B443,C443),NOT(AND(ISBLANK(B443),ISBLANK(C443)))), "Common", "")</f>
        <v/>
      </c>
    </row>
    <row r="444" customFormat="false" ht="15.75" hidden="false" customHeight="false" outlineLevel="0" collapsed="false">
      <c r="A444" s="3" t="s">
        <v>283</v>
      </c>
      <c r="B444" s="3"/>
      <c r="C444" s="3" t="s">
        <v>2615</v>
      </c>
      <c r="D444" s="4" t="str">
        <f aca="false">IF(AND(EXACT(B444,C444),NOT(AND(ISBLANK(B444),ISBLANK(C444)))), "Common", "")</f>
        <v/>
      </c>
    </row>
    <row r="445" customFormat="false" ht="15.75" hidden="false" customHeight="false" outlineLevel="0" collapsed="false">
      <c r="A445" s="4"/>
    </row>
    <row r="446" customFormat="false" ht="15.75" hidden="false" customHeight="false" outlineLevel="0" collapsed="false">
      <c r="A446" s="3" t="s">
        <v>283</v>
      </c>
      <c r="C446" s="3" t="s">
        <v>2619</v>
      </c>
      <c r="D446" s="4" t="str">
        <f aca="false">IF(AND(EXACT(B446,C446),NOT(AND(ISBLANK(B446),ISBLANK(C446)))), "Common", "")</f>
        <v/>
      </c>
    </row>
    <row r="447" customFormat="false" ht="15.75" hidden="false" customHeight="false" outlineLevel="0" collapsed="false">
      <c r="A447" s="3" t="s">
        <v>281</v>
      </c>
      <c r="B447" s="3"/>
      <c r="C447" s="3" t="s">
        <v>1544</v>
      </c>
      <c r="D447" s="4" t="str">
        <f aca="false">IF(AND(EXACT(B447,C447),NOT(AND(ISBLANK(B447),ISBLANK(C447)))), "Common", "")</f>
        <v/>
      </c>
    </row>
    <row r="448" customFormat="false" ht="15.75" hidden="false" customHeight="false" outlineLevel="0" collapsed="false">
      <c r="A448" s="3" t="s">
        <v>283</v>
      </c>
      <c r="B448" s="3"/>
      <c r="C448" s="3" t="s">
        <v>2031</v>
      </c>
      <c r="D448" s="4" t="str">
        <f aca="false">IF(AND(EXACT(B448,C448),NOT(AND(ISBLANK(B448),ISBLANK(C448)))), "Common", "")</f>
        <v/>
      </c>
    </row>
    <row r="449" customFormat="false" ht="15.75" hidden="false" customHeight="false" outlineLevel="0" collapsed="false">
      <c r="A449" s="3" t="s">
        <v>281</v>
      </c>
      <c r="B449" s="3" t="s">
        <v>1725</v>
      </c>
      <c r="C449" s="3"/>
      <c r="D449" s="4" t="str">
        <f aca="false">IF(AND(EXACT(B449,C449),NOT(AND(ISBLANK(B449),ISBLANK(C449)))), "Common", "")</f>
        <v/>
      </c>
    </row>
    <row r="450" customFormat="false" ht="15.75" hidden="false" customHeight="false" outlineLevel="0" collapsed="false">
      <c r="A450" s="3" t="s">
        <v>283</v>
      </c>
      <c r="B450" s="3" t="s">
        <v>1492</v>
      </c>
      <c r="C450" s="3" t="s">
        <v>1492</v>
      </c>
      <c r="D450" s="4" t="str">
        <f aca="false">IF(AND(EXACT(B450,C450),NOT(AND(ISBLANK(B450),ISBLANK(C450)))), "Common", "")</f>
        <v>Common</v>
      </c>
    </row>
    <row r="451" customFormat="false" ht="15.75" hidden="false" customHeight="false" outlineLevel="0" collapsed="false">
      <c r="A451" s="3" t="s">
        <v>283</v>
      </c>
      <c r="C451" s="3" t="s">
        <v>2120</v>
      </c>
      <c r="D451" s="4" t="str">
        <f aca="false">IF(AND(EXACT(B451,C451),NOT(AND(ISBLANK(B451),ISBLANK(C451)))), "Common", "")</f>
        <v/>
      </c>
    </row>
    <row r="452" customFormat="false" ht="15.75" hidden="false" customHeight="false" outlineLevel="0" collapsed="false">
      <c r="A452" s="3" t="s">
        <v>283</v>
      </c>
      <c r="C452" s="3" t="s">
        <v>2130</v>
      </c>
      <c r="D452" s="4" t="str">
        <f aca="false">IF(AND(EXACT(B452,C452),NOT(AND(ISBLANK(B452),ISBLANK(C452)))), "Common", "")</f>
        <v/>
      </c>
    </row>
    <row r="453" customFormat="false" ht="15.75" hidden="false" customHeight="false" outlineLevel="0" collapsed="false">
      <c r="A453" s="3" t="s">
        <v>283</v>
      </c>
      <c r="C453" s="3" t="s">
        <v>2132</v>
      </c>
      <c r="D453" s="4" t="str">
        <f aca="false">IF(AND(EXACT(B453,C453),NOT(AND(ISBLANK(B453),ISBLANK(C453)))), "Common", "")</f>
        <v/>
      </c>
    </row>
    <row r="454" customFormat="false" ht="15.75" hidden="false" customHeight="false" outlineLevel="0" collapsed="false">
      <c r="A454" s="3" t="s">
        <v>283</v>
      </c>
      <c r="B454" s="3"/>
      <c r="C454" s="3" t="s">
        <v>2445</v>
      </c>
      <c r="D454" s="4" t="str">
        <f aca="false">IF(AND(EXACT(B454,C454),NOT(AND(ISBLANK(B454),ISBLANK(C454)))), "Common", "")</f>
        <v/>
      </c>
    </row>
    <row r="455" customFormat="false" ht="15.75" hidden="false" customHeight="false" outlineLevel="0" collapsed="false">
      <c r="A455" s="3" t="s">
        <v>283</v>
      </c>
      <c r="B455" s="3"/>
      <c r="C455" s="3" t="s">
        <v>2442</v>
      </c>
      <c r="D455" s="4" t="str">
        <f aca="false">IF(AND(EXACT(B455,C455),NOT(AND(ISBLANK(B455),ISBLANK(C455)))), "Common", "")</f>
        <v/>
      </c>
    </row>
    <row r="456" customFormat="false" ht="15.75" hidden="false" customHeight="false" outlineLevel="0" collapsed="false">
      <c r="A456" s="3" t="s">
        <v>283</v>
      </c>
      <c r="B456" s="3" t="s">
        <v>1752</v>
      </c>
      <c r="C456" s="3" t="s">
        <v>1752</v>
      </c>
      <c r="D456" s="4" t="str">
        <f aca="false">IF(AND(EXACT(B456,C456),NOT(AND(ISBLANK(B456),ISBLANK(C456)))), "Common", "")</f>
        <v>Common</v>
      </c>
    </row>
    <row r="457" customFormat="false" ht="15.75" hidden="false" customHeight="false" outlineLevel="0" collapsed="false">
      <c r="A457" s="3" t="s">
        <v>283</v>
      </c>
      <c r="B457" s="3" t="s">
        <v>1860</v>
      </c>
      <c r="C457" s="3"/>
      <c r="D457" s="4" t="str">
        <f aca="false">IF(AND(EXACT(B457,C457),NOT(AND(ISBLANK(B457),ISBLANK(C457)))), "Common", "")</f>
        <v/>
      </c>
    </row>
    <row r="458" customFormat="false" ht="15.75" hidden="false" customHeight="false" outlineLevel="0" collapsed="false">
      <c r="A458" s="3" t="s">
        <v>283</v>
      </c>
      <c r="B458" s="3" t="s">
        <v>1862</v>
      </c>
      <c r="C458" s="3"/>
      <c r="D458" s="4" t="str">
        <f aca="false">IF(AND(EXACT(B458,C458),NOT(AND(ISBLANK(B458),ISBLANK(C458)))), "Common", "")</f>
        <v/>
      </c>
    </row>
    <row r="459" customFormat="false" ht="15.75" hidden="false" customHeight="false" outlineLevel="0" collapsed="false">
      <c r="A459" s="3" t="s">
        <v>283</v>
      </c>
      <c r="C459" s="3" t="s">
        <v>2447</v>
      </c>
      <c r="D459" s="4" t="str">
        <f aca="false">IF(AND(EXACT(B459,C459),NOT(AND(ISBLANK(B459),ISBLANK(C459)))), "Common", "")</f>
        <v/>
      </c>
    </row>
    <row r="460" customFormat="false" ht="15.75" hidden="false" customHeight="false" outlineLevel="0" collapsed="false">
      <c r="A460" s="3" t="s">
        <v>279</v>
      </c>
      <c r="C460" s="3" t="s">
        <v>1694</v>
      </c>
      <c r="D460" s="4" t="str">
        <f aca="false">IF(AND(EXACT(B460,C460),NOT(AND(ISBLANK(B460),ISBLANK(C460)))), "Common", "")</f>
        <v/>
      </c>
    </row>
    <row r="461" customFormat="false" ht="15.75" hidden="false" customHeight="false" outlineLevel="0" collapsed="false">
      <c r="A461" s="3" t="s">
        <v>283</v>
      </c>
      <c r="B461" s="3" t="s">
        <v>1966</v>
      </c>
      <c r="C461" s="3" t="s">
        <v>1966</v>
      </c>
      <c r="D461" s="4" t="str">
        <f aca="false">IF(AND(EXACT(B461,C461),NOT(AND(ISBLANK(B461),ISBLANK(C461)))), "Common", "")</f>
        <v>Common</v>
      </c>
    </row>
    <row r="462" customFormat="false" ht="15.75" hidden="false" customHeight="false" outlineLevel="0" collapsed="false">
      <c r="A462" s="3" t="s">
        <v>282</v>
      </c>
      <c r="B462" s="3"/>
      <c r="C462" s="3" t="s">
        <v>1701</v>
      </c>
    </row>
    <row r="463" customFormat="false" ht="15.75" hidden="false" customHeight="false" outlineLevel="0" collapsed="false">
      <c r="A463" s="3" t="s">
        <v>2680</v>
      </c>
      <c r="B463" s="3" t="s">
        <v>2064</v>
      </c>
      <c r="D463" s="4" t="str">
        <f aca="false">IF(AND(EXACT(B463,C463),NOT(AND(ISBLANK(B463),ISBLANK(C463)))), "Common", "")</f>
        <v/>
      </c>
    </row>
    <row r="464" customFormat="false" ht="15.75" hidden="false" customHeight="false" outlineLevel="0" collapsed="false">
      <c r="A464" s="3" t="s">
        <v>2681</v>
      </c>
      <c r="B464" s="3" t="s">
        <v>2303</v>
      </c>
      <c r="C464" s="3"/>
      <c r="D464" s="4" t="str">
        <f aca="false">IF(AND(EXACT(B464,C464),NOT(AND(ISBLANK(B464),ISBLANK(C464)))), "Common", "")</f>
        <v/>
      </c>
    </row>
    <row r="465" customFormat="false" ht="15.75" hidden="false" customHeight="false" outlineLevel="0" collapsed="false">
      <c r="A465" s="3" t="s">
        <v>2681</v>
      </c>
      <c r="B465" s="3" t="s">
        <v>2319</v>
      </c>
      <c r="C465" s="3"/>
      <c r="D465" s="4" t="str">
        <f aca="false">IF(AND(EXACT(B465,C465),NOT(AND(ISBLANK(B465),ISBLANK(C465)))), "Common", "")</f>
        <v/>
      </c>
    </row>
    <row r="466" customFormat="false" ht="15.75" hidden="false" customHeight="false" outlineLevel="0" collapsed="false">
      <c r="A466" s="3" t="s">
        <v>2681</v>
      </c>
      <c r="B466" s="3"/>
      <c r="C466" s="3" t="s">
        <v>2548</v>
      </c>
      <c r="D466" s="4" t="str">
        <f aca="false">IF(AND(EXACT(B466,C466),NOT(AND(ISBLANK(B466),ISBLANK(C466)))), "Common", "")</f>
        <v/>
      </c>
    </row>
    <row r="467" customFormat="false" ht="15.75" hidden="false" customHeight="false" outlineLevel="0" collapsed="false">
      <c r="A467" s="3" t="s">
        <v>2682</v>
      </c>
      <c r="B467" s="3"/>
      <c r="C467" s="3" t="s">
        <v>2449</v>
      </c>
      <c r="D467" s="4" t="str">
        <f aca="false">IF(AND(EXACT(B467,C467),NOT(AND(ISBLANK(B467),ISBLANK(C467)))), "Common", "")</f>
        <v/>
      </c>
    </row>
    <row r="468" customFormat="false" ht="15.75" hidden="false" customHeight="false" outlineLevel="0" collapsed="false">
      <c r="A468" s="3" t="s">
        <v>2682</v>
      </c>
      <c r="B468" s="3"/>
      <c r="C468" s="3" t="s">
        <v>1486</v>
      </c>
      <c r="D468" s="4" t="str">
        <f aca="false">IF(AND(EXACT(B468,C468),NOT(AND(ISBLANK(B468),ISBLANK(C468)))), "Common", "")</f>
        <v/>
      </c>
    </row>
    <row r="469" customFormat="false" ht="15.75" hidden="false" customHeight="false" outlineLevel="0" collapsed="false">
      <c r="A469" s="3" t="s">
        <v>2682</v>
      </c>
      <c r="B469" s="3"/>
      <c r="C469" s="3" t="s">
        <v>1496</v>
      </c>
      <c r="D469" s="4" t="str">
        <f aca="false">IF(AND(EXACT(B469,C469),NOT(AND(ISBLANK(B469),ISBLANK(C469)))), "Common", "")</f>
        <v/>
      </c>
    </row>
    <row r="470" customFormat="false" ht="15.75" hidden="false" customHeight="false" outlineLevel="0" collapsed="false">
      <c r="A470" s="3" t="s">
        <v>2682</v>
      </c>
      <c r="B470" s="3" t="s">
        <v>1517</v>
      </c>
      <c r="D470" s="4" t="str">
        <f aca="false">IF(AND(EXACT(B470,C470),NOT(AND(ISBLANK(B470),ISBLANK(C470)))), "Common", "")</f>
        <v/>
      </c>
    </row>
    <row r="471" customFormat="false" ht="15.75" hidden="false" customHeight="false" outlineLevel="0" collapsed="false">
      <c r="A471" s="3" t="s">
        <v>2682</v>
      </c>
      <c r="B471" s="3" t="s">
        <v>1967</v>
      </c>
      <c r="C471" s="3" t="s">
        <v>1967</v>
      </c>
      <c r="D471" s="4" t="str">
        <f aca="false">IF(AND(EXACT(B471,C471),NOT(AND(ISBLANK(B471),ISBLANK(C471)))), "Common", "")</f>
        <v>Common</v>
      </c>
    </row>
    <row r="472" customFormat="false" ht="15.75" hidden="false" customHeight="false" outlineLevel="0" collapsed="false">
      <c r="A472" s="3" t="s">
        <v>2682</v>
      </c>
      <c r="B472" s="3" t="s">
        <v>1976</v>
      </c>
      <c r="C472" s="3" t="s">
        <v>1976</v>
      </c>
      <c r="D472" s="4" t="str">
        <f aca="false">IF(AND(EXACT(B472,C472),NOT(AND(ISBLANK(B472),ISBLANK(C472)))), "Common", "")</f>
        <v>Common</v>
      </c>
    </row>
    <row r="473" customFormat="false" ht="15.75" hidden="false" customHeight="false" outlineLevel="0" collapsed="false">
      <c r="A473" s="3" t="s">
        <v>2682</v>
      </c>
      <c r="B473" s="3" t="s">
        <v>1982</v>
      </c>
      <c r="C473" s="3" t="s">
        <v>1982</v>
      </c>
      <c r="D473" s="4" t="str">
        <f aca="false">IF(AND(EXACT(B473,C473),NOT(AND(ISBLANK(B473),ISBLANK(C473)))), "Common", "")</f>
        <v>Common</v>
      </c>
    </row>
    <row r="474" customFormat="false" ht="15.75" hidden="false" customHeight="false" outlineLevel="0" collapsed="false">
      <c r="A474" s="3" t="s">
        <v>2682</v>
      </c>
      <c r="B474" s="3" t="s">
        <v>1983</v>
      </c>
      <c r="C474" s="3" t="s">
        <v>1983</v>
      </c>
      <c r="D474" s="4" t="str">
        <f aca="false">IF(AND(EXACT(B474,C474),NOT(AND(ISBLANK(B474),ISBLANK(C474)))), "Common", "")</f>
        <v>Common</v>
      </c>
    </row>
    <row r="475" customFormat="false" ht="15.75" hidden="false" customHeight="false" outlineLevel="0" collapsed="false">
      <c r="A475" s="3" t="s">
        <v>2682</v>
      </c>
      <c r="B475" s="3" t="s">
        <v>2058</v>
      </c>
      <c r="D475" s="4" t="str">
        <f aca="false">IF(AND(EXACT(B475,C475),NOT(AND(ISBLANK(B475),ISBLANK(C475)))), "Common", "")</f>
        <v/>
      </c>
    </row>
    <row r="476" customFormat="false" ht="15.75" hidden="false" customHeight="false" outlineLevel="0" collapsed="false">
      <c r="A476" s="3" t="s">
        <v>2682</v>
      </c>
      <c r="B476" s="3" t="s">
        <v>2060</v>
      </c>
      <c r="D476" s="4" t="str">
        <f aca="false">IF(AND(EXACT(B476,C476),NOT(AND(ISBLANK(B476),ISBLANK(C476)))), "Common", "")</f>
        <v/>
      </c>
    </row>
    <row r="477" customFormat="false" ht="15.75" hidden="false" customHeight="false" outlineLevel="0" collapsed="false">
      <c r="A477" s="3" t="s">
        <v>2682</v>
      </c>
      <c r="B477" s="3" t="s">
        <v>2062</v>
      </c>
      <c r="D477" s="4" t="str">
        <f aca="false">IF(AND(EXACT(B477,C477),NOT(AND(ISBLANK(B477),ISBLANK(C477)))), "Common", "")</f>
        <v/>
      </c>
    </row>
    <row r="478" customFormat="false" ht="15.75" hidden="false" customHeight="false" outlineLevel="0" collapsed="false">
      <c r="A478" s="3" t="s">
        <v>2682</v>
      </c>
      <c r="B478" s="3"/>
      <c r="C478" s="3" t="s">
        <v>1972</v>
      </c>
      <c r="D478" s="4" t="str">
        <f aca="false">IF(AND(EXACT(B478,C478),NOT(AND(ISBLANK(B478),ISBLANK(C478)))), "Common", "")</f>
        <v/>
      </c>
    </row>
    <row r="479" customFormat="false" ht="15.75" hidden="false" customHeight="false" outlineLevel="0" collapsed="false">
      <c r="A479" s="3" t="s">
        <v>2682</v>
      </c>
      <c r="C479" s="3" t="s">
        <v>1973</v>
      </c>
      <c r="D479" s="4" t="str">
        <f aca="false">IF(AND(EXACT(B479,C479),NOT(AND(ISBLANK(B479),ISBLANK(C479)))), "Common", "")</f>
        <v/>
      </c>
    </row>
    <row r="480" customFormat="false" ht="15.75" hidden="false" customHeight="false" outlineLevel="0" collapsed="false">
      <c r="A480" s="3" t="s">
        <v>2682</v>
      </c>
      <c r="C480" s="3" t="s">
        <v>1977</v>
      </c>
      <c r="D480" s="4" t="str">
        <f aca="false">IF(AND(EXACT(B480,C480),NOT(AND(ISBLANK(B480),ISBLANK(C480)))), "Common", "")</f>
        <v/>
      </c>
    </row>
    <row r="481" customFormat="false" ht="15.75" hidden="false" customHeight="false" outlineLevel="0" collapsed="false">
      <c r="A481" s="3" t="s">
        <v>2682</v>
      </c>
      <c r="C481" s="3" t="s">
        <v>2297</v>
      </c>
      <c r="D481" s="4" t="str">
        <f aca="false">IF(AND(EXACT(B481,C481),NOT(AND(ISBLANK(B481),ISBLANK(C481)))), "Common", "")</f>
        <v/>
      </c>
    </row>
    <row r="482" customFormat="false" ht="15.75" hidden="false" customHeight="false" outlineLevel="0" collapsed="false">
      <c r="A482" s="3" t="s">
        <v>2682</v>
      </c>
      <c r="B482" s="3" t="s">
        <v>2262</v>
      </c>
      <c r="C482" s="3" t="s">
        <v>2262</v>
      </c>
      <c r="D482" s="4" t="str">
        <f aca="false">IF(AND(EXACT(B482,C482),NOT(AND(ISBLANK(B482),ISBLANK(C482)))), "Common", "")</f>
        <v>Common</v>
      </c>
    </row>
    <row r="483" customFormat="false" ht="15.75" hidden="false" customHeight="false" outlineLevel="0" collapsed="false">
      <c r="A483" s="3" t="s">
        <v>2682</v>
      </c>
      <c r="B483" s="3" t="s">
        <v>2268</v>
      </c>
      <c r="D483" s="4" t="str">
        <f aca="false">IF(AND(EXACT(B483,C483),NOT(AND(ISBLANK(B483),ISBLANK(C483)))), "Common", "")</f>
        <v/>
      </c>
    </row>
    <row r="484" customFormat="false" ht="15.75" hidden="false" customHeight="false" outlineLevel="0" collapsed="false">
      <c r="A484" s="3" t="s">
        <v>2683</v>
      </c>
      <c r="B484" s="3" t="s">
        <v>2290</v>
      </c>
      <c r="C484" s="3" t="s">
        <v>2290</v>
      </c>
      <c r="D484" s="4" t="str">
        <f aca="false">IF(AND(EXACT(B484,C484),NOT(AND(ISBLANK(B484),ISBLANK(C484)))), "Common", "")</f>
        <v>Common</v>
      </c>
    </row>
    <row r="485" customFormat="false" ht="15.75" hidden="false" customHeight="false" outlineLevel="0" collapsed="false">
      <c r="A485" s="3" t="s">
        <v>2683</v>
      </c>
      <c r="B485" s="3" t="s">
        <v>2301</v>
      </c>
      <c r="C485" s="3" t="s">
        <v>2301</v>
      </c>
      <c r="D485" s="4" t="str">
        <f aca="false">IF(AND(EXACT(B485,C485),NOT(AND(ISBLANK(B485),ISBLANK(C485)))), "Common", "")</f>
        <v>Common</v>
      </c>
    </row>
    <row r="486" customFormat="false" ht="15.75" hidden="false" customHeight="false" outlineLevel="0" collapsed="false">
      <c r="A486" s="3" t="s">
        <v>2683</v>
      </c>
      <c r="B486" s="3" t="s">
        <v>2298</v>
      </c>
      <c r="C486" s="3" t="s">
        <v>2298</v>
      </c>
      <c r="D486" s="4" t="str">
        <f aca="false">IF(AND(EXACT(B486,C486),NOT(AND(ISBLANK(B486),ISBLANK(C486)))), "Common", "")</f>
        <v>Common</v>
      </c>
    </row>
    <row r="487" customFormat="false" ht="15.75" hidden="false" customHeight="false" outlineLevel="0" collapsed="false">
      <c r="A487" s="3" t="s">
        <v>2683</v>
      </c>
      <c r="B487" s="3" t="s">
        <v>2294</v>
      </c>
      <c r="C487" s="3" t="s">
        <v>2294</v>
      </c>
      <c r="D487" s="4" t="str">
        <f aca="false">IF(AND(EXACT(B487,C487),NOT(AND(ISBLANK(B487),ISBLANK(C487)))), "Common", "")</f>
        <v>Common</v>
      </c>
    </row>
    <row r="488" customFormat="false" ht="15.75" hidden="false" customHeight="false" outlineLevel="0" collapsed="false">
      <c r="A488" s="3" t="s">
        <v>2683</v>
      </c>
      <c r="B488" s="3" t="s">
        <v>2296</v>
      </c>
      <c r="C488" s="3" t="s">
        <v>2296</v>
      </c>
      <c r="D488" s="4" t="str">
        <f aca="false">IF(AND(EXACT(B488,C488),NOT(AND(ISBLANK(B488),ISBLANK(C488)))), "Common", "")</f>
        <v>Common</v>
      </c>
    </row>
    <row r="489" customFormat="false" ht="15.75" hidden="false" customHeight="false" outlineLevel="0" collapsed="false">
      <c r="A489" s="3" t="s">
        <v>2683</v>
      </c>
      <c r="B489" s="3" t="s">
        <v>2321</v>
      </c>
      <c r="C489" s="3" t="s">
        <v>2321</v>
      </c>
      <c r="D489" s="4" t="str">
        <f aca="false">IF(AND(EXACT(B489,C489),NOT(AND(ISBLANK(B489),ISBLANK(C489)))), "Common", "")</f>
        <v>Common</v>
      </c>
    </row>
    <row r="490" customFormat="false" ht="15.75" hidden="false" customHeight="false" outlineLevel="0" collapsed="false">
      <c r="A490" s="3" t="s">
        <v>2683</v>
      </c>
      <c r="B490" s="3" t="s">
        <v>2331</v>
      </c>
      <c r="C490" s="3" t="s">
        <v>2331</v>
      </c>
      <c r="D490" s="4" t="str">
        <f aca="false">IF(AND(EXACT(B490,C490),NOT(AND(ISBLANK(B490),ISBLANK(C490)))), "Common", "")</f>
        <v>Common</v>
      </c>
    </row>
    <row r="491" customFormat="false" ht="15.75" hidden="false" customHeight="false" outlineLevel="0" collapsed="false">
      <c r="A491" s="3" t="s">
        <v>2683</v>
      </c>
      <c r="B491" s="3" t="s">
        <v>2333</v>
      </c>
      <c r="C491" s="3" t="s">
        <v>2333</v>
      </c>
      <c r="D491" s="4" t="str">
        <f aca="false">IF(AND(EXACT(B491,C491),NOT(AND(ISBLANK(B491),ISBLANK(C491)))), "Common", "")</f>
        <v>Common</v>
      </c>
    </row>
    <row r="492" customFormat="false" ht="15.75" hidden="false" customHeight="false" outlineLevel="0" collapsed="false">
      <c r="A492" s="3" t="s">
        <v>2683</v>
      </c>
      <c r="B492" s="3" t="s">
        <v>2341</v>
      </c>
      <c r="C492" s="3" t="s">
        <v>2341</v>
      </c>
      <c r="D492" s="4" t="str">
        <f aca="false">IF(AND(EXACT(B492,C492),NOT(AND(ISBLANK(B492),ISBLANK(C492)))), "Common", "")</f>
        <v>Common</v>
      </c>
    </row>
    <row r="493" customFormat="false" ht="15.75" hidden="false" customHeight="false" outlineLevel="0" collapsed="false">
      <c r="A493" s="3" t="s">
        <v>2683</v>
      </c>
      <c r="B493" s="3" t="s">
        <v>2379</v>
      </c>
      <c r="C493" s="3" t="s">
        <v>2379</v>
      </c>
      <c r="D493" s="4" t="str">
        <f aca="false">IF(AND(EXACT(B493,C493),NOT(AND(ISBLANK(B493),ISBLANK(C493)))), "Common", "")</f>
        <v>Common</v>
      </c>
    </row>
    <row r="494" customFormat="false" ht="15.75" hidden="false" customHeight="false" outlineLevel="0" collapsed="false">
      <c r="A494" s="3" t="s">
        <v>2683</v>
      </c>
      <c r="B494" s="3" t="s">
        <v>2387</v>
      </c>
      <c r="C494" s="3" t="s">
        <v>2387</v>
      </c>
      <c r="D494" s="4" t="str">
        <f aca="false">IF(AND(EXACT(B494,C494),NOT(AND(ISBLANK(B494),ISBLANK(C494)))), "Common", "")</f>
        <v>Common</v>
      </c>
    </row>
    <row r="495" customFormat="false" ht="15.75" hidden="false" customHeight="false" outlineLevel="0" collapsed="false">
      <c r="A495" s="3" t="s">
        <v>2683</v>
      </c>
      <c r="B495" s="3" t="s">
        <v>2395</v>
      </c>
      <c r="C495" s="3" t="s">
        <v>2395</v>
      </c>
      <c r="D495" s="4" t="str">
        <f aca="false">IF(AND(EXACT(B495,C495),NOT(AND(ISBLANK(B495),ISBLANK(C495)))), "Common", "")</f>
        <v>Common</v>
      </c>
    </row>
    <row r="496" customFormat="false" ht="15.75" hidden="false" customHeight="false" outlineLevel="0" collapsed="false">
      <c r="A496" s="3" t="s">
        <v>2683</v>
      </c>
      <c r="B496" s="3" t="s">
        <v>2348</v>
      </c>
      <c r="C496" s="3"/>
      <c r="D496" s="4" t="str">
        <f aca="false">IF(AND(EXACT(B496,C496),NOT(AND(ISBLANK(B496),ISBLANK(C496)))), "Common", "")</f>
        <v/>
      </c>
    </row>
    <row r="497" customFormat="false" ht="15.75" hidden="false" customHeight="false" outlineLevel="0" collapsed="false">
      <c r="A497" s="3" t="s">
        <v>2683</v>
      </c>
      <c r="B497" s="3" t="s">
        <v>2391</v>
      </c>
      <c r="D497" s="4" t="str">
        <f aca="false">IF(AND(EXACT(B497,C497),NOT(AND(ISBLANK(B497),ISBLANK(C497)))), "Common", "")</f>
        <v/>
      </c>
    </row>
    <row r="498" customFormat="false" ht="15.75" hidden="false" customHeight="false" outlineLevel="0" collapsed="false">
      <c r="A498" s="3" t="s">
        <v>2683</v>
      </c>
      <c r="B498" s="3" t="s">
        <v>2393</v>
      </c>
      <c r="C498" s="3"/>
      <c r="D498" s="4" t="str">
        <f aca="false">IF(AND(EXACT(B498,C498),NOT(AND(ISBLANK(B498),ISBLANK(C498)))), "Common", "")</f>
        <v/>
      </c>
    </row>
    <row r="499" customFormat="false" ht="15.75" hidden="false" customHeight="false" outlineLevel="0" collapsed="false">
      <c r="A499" s="3" t="s">
        <v>2683</v>
      </c>
      <c r="B499" s="3"/>
      <c r="C499" s="3" t="s">
        <v>2541</v>
      </c>
      <c r="D499" s="4" t="str">
        <f aca="false">IF(AND(EXACT(B499,C499),NOT(AND(ISBLANK(B499),ISBLANK(C499)))), "Common", "")</f>
        <v/>
      </c>
    </row>
    <row r="500" customFormat="false" ht="15.75" hidden="false" customHeight="false" outlineLevel="0" collapsed="false">
      <c r="A500" s="3" t="s">
        <v>2683</v>
      </c>
      <c r="B500" s="3"/>
      <c r="C500" s="3" t="s">
        <v>2527</v>
      </c>
      <c r="D500" s="4" t="str">
        <f aca="false">IF(AND(EXACT(B500,C500),NOT(AND(ISBLANK(B500),ISBLANK(C500)))), "Common", "")</f>
        <v/>
      </c>
    </row>
    <row r="501" customFormat="false" ht="15.75" hidden="false" customHeight="false" outlineLevel="0" collapsed="false">
      <c r="A501" s="3" t="s">
        <v>2683</v>
      </c>
      <c r="C501" s="3" t="s">
        <v>2533</v>
      </c>
      <c r="D501" s="4" t="str">
        <f aca="false">IF(AND(EXACT(B501,C501),NOT(AND(ISBLANK(B501),ISBLANK(C501)))), "Common", "")</f>
        <v/>
      </c>
    </row>
    <row r="502" customFormat="false" ht="15.75" hidden="false" customHeight="false" outlineLevel="0" collapsed="false">
      <c r="A502" s="3" t="s">
        <v>2683</v>
      </c>
      <c r="C502" s="3" t="s">
        <v>2490</v>
      </c>
      <c r="D502" s="4" t="str">
        <f aca="false">IF(AND(EXACT(B502,C502),NOT(AND(ISBLANK(B502),ISBLANK(C502)))), "Common", "")</f>
        <v/>
      </c>
    </row>
    <row r="503" customFormat="false" ht="15.75" hidden="false" customHeight="false" outlineLevel="0" collapsed="false">
      <c r="A503" s="3" t="s">
        <v>2683</v>
      </c>
      <c r="B503" s="3"/>
      <c r="C503" s="3" t="s">
        <v>2493</v>
      </c>
      <c r="D503" s="4" t="str">
        <f aca="false">IF(AND(EXACT(B503,C503),NOT(AND(ISBLANK(B503),ISBLANK(C503)))), "Common", "")</f>
        <v/>
      </c>
    </row>
    <row r="504" customFormat="false" ht="15.75" hidden="false" customHeight="false" outlineLevel="0" collapsed="false">
      <c r="A504" s="3" t="s">
        <v>2683</v>
      </c>
      <c r="B504" s="3"/>
      <c r="C504" s="3" t="s">
        <v>2502</v>
      </c>
      <c r="D504" s="4" t="str">
        <f aca="false">IF(AND(EXACT(B504,C504),NOT(AND(ISBLANK(B504),ISBLANK(C504)))), "Common", "")</f>
        <v/>
      </c>
    </row>
    <row r="505" customFormat="false" ht="15.75" hidden="false" customHeight="false" outlineLevel="0" collapsed="false">
      <c r="A505" s="3" t="s">
        <v>2683</v>
      </c>
      <c r="C505" s="3" t="s">
        <v>2504</v>
      </c>
      <c r="D505" s="4" t="str">
        <f aca="false">IF(AND(EXACT(B505,C505),NOT(AND(ISBLANK(B505),ISBLANK(C505)))), "Common", "")</f>
        <v/>
      </c>
    </row>
    <row r="506" customFormat="false" ht="15.75" hidden="false" customHeight="false" outlineLevel="0" collapsed="false">
      <c r="A506" s="3" t="s">
        <v>2682</v>
      </c>
      <c r="B506" s="3"/>
      <c r="C506" s="3" t="s">
        <v>1879</v>
      </c>
      <c r="D506" s="4" t="str">
        <f aca="false">IF(AND(EXACT(B506,C506),NOT(AND(ISBLANK(B506),ISBLANK(C506)))), "Common", "")</f>
        <v/>
      </c>
    </row>
    <row r="507" customFormat="false" ht="15.75" hidden="false" customHeight="false" outlineLevel="0" collapsed="false">
      <c r="A507" s="3" t="s">
        <v>2682</v>
      </c>
      <c r="B507" s="3"/>
      <c r="C507" s="3" t="s">
        <v>2624</v>
      </c>
      <c r="D507" s="4" t="str">
        <f aca="false">IF(AND(EXACT(B507,C507),NOT(AND(ISBLANK(B507),ISBLANK(C507)))), "Common", "")</f>
        <v/>
      </c>
    </row>
    <row r="508" customFormat="false" ht="15.75" hidden="false" customHeight="false" outlineLevel="0" collapsed="false">
      <c r="A508" s="3" t="s">
        <v>2684</v>
      </c>
      <c r="B508" s="3" t="s">
        <v>1975</v>
      </c>
      <c r="C508" s="3" t="s">
        <v>1975</v>
      </c>
      <c r="D508" s="4" t="str">
        <f aca="false">IF(AND(EXACT(B508,C508),NOT(AND(ISBLANK(B508),ISBLANK(C508)))), "Common", "")</f>
        <v>Common</v>
      </c>
    </row>
    <row r="509" customFormat="false" ht="15.75" hidden="false" customHeight="false" outlineLevel="0" collapsed="false">
      <c r="A509" s="3" t="s">
        <v>2684</v>
      </c>
      <c r="B509" s="3" t="s">
        <v>2081</v>
      </c>
      <c r="D509" s="4" t="str">
        <f aca="false">IF(AND(EXACT(B509,C509),NOT(AND(ISBLANK(B509),ISBLANK(C509)))), "Common", "")</f>
        <v/>
      </c>
    </row>
    <row r="510" customFormat="false" ht="15.75" hidden="false" customHeight="false" outlineLevel="0" collapsed="false">
      <c r="A510" s="3" t="s">
        <v>2684</v>
      </c>
      <c r="B510" s="3"/>
      <c r="C510" s="3" t="s">
        <v>1980</v>
      </c>
      <c r="D510" s="4" t="str">
        <f aca="false">IF(AND(EXACT(B510,C510),NOT(AND(ISBLANK(B510),ISBLANK(C510)))), "Common", "")</f>
        <v/>
      </c>
    </row>
    <row r="511" customFormat="false" ht="15.75" hidden="false" customHeight="false" outlineLevel="0" collapsed="false">
      <c r="A511" s="3" t="s">
        <v>279</v>
      </c>
      <c r="B511" s="3" t="s">
        <v>2329</v>
      </c>
      <c r="C511" s="3" t="s">
        <v>2329</v>
      </c>
      <c r="D511" s="4" t="str">
        <f aca="false">IF(AND(EXACT(B511,C511),NOT(AND(ISBLANK(B511),ISBLANK(C511)))), "Common", "")</f>
        <v>Common</v>
      </c>
    </row>
    <row r="512" customFormat="false" ht="15.75" hidden="false" customHeight="false" outlineLevel="0" collapsed="false">
      <c r="A512" s="3" t="s">
        <v>279</v>
      </c>
      <c r="B512" s="3" t="s">
        <v>2330</v>
      </c>
      <c r="C512" s="3" t="s">
        <v>2330</v>
      </c>
      <c r="D512" s="4" t="str">
        <f aca="false">IF(AND(EXACT(B512,C512),NOT(AND(ISBLANK(B512),ISBLANK(C512)))), "Common", "")</f>
        <v>Common</v>
      </c>
    </row>
    <row r="513" customFormat="false" ht="15.75" hidden="false" customHeight="false" outlineLevel="0" collapsed="false">
      <c r="A513" s="3" t="s">
        <v>279</v>
      </c>
      <c r="B513" s="3" t="s">
        <v>2371</v>
      </c>
      <c r="C513" s="3" t="s">
        <v>2371</v>
      </c>
      <c r="D513" s="4" t="str">
        <f aca="false">IF(AND(EXACT(B513,C513),NOT(AND(ISBLANK(B513),ISBLANK(C513)))), "Common", "")</f>
        <v>Common</v>
      </c>
    </row>
    <row r="514" customFormat="false" ht="15.75" hidden="false" customHeight="false" outlineLevel="0" collapsed="false">
      <c r="A514" s="3" t="s">
        <v>279</v>
      </c>
      <c r="B514" s="3" t="s">
        <v>2373</v>
      </c>
      <c r="C514" s="3" t="s">
        <v>2373</v>
      </c>
      <c r="D514" s="4" t="str">
        <f aca="false">IF(AND(EXACT(B514,C514),NOT(AND(ISBLANK(B514),ISBLANK(C514)))), "Common", "")</f>
        <v>Common</v>
      </c>
    </row>
    <row r="515" customFormat="false" ht="15.75" hidden="false" customHeight="false" outlineLevel="0" collapsed="false">
      <c r="A515" s="3" t="s">
        <v>279</v>
      </c>
      <c r="B515" s="3" t="s">
        <v>2344</v>
      </c>
      <c r="D515" s="4" t="str">
        <f aca="false">IF(AND(EXACT(B515,C515),NOT(AND(ISBLANK(B515),ISBLANK(C515)))), "Common", "")</f>
        <v/>
      </c>
    </row>
    <row r="516" customFormat="false" ht="15.75" hidden="false" customHeight="false" outlineLevel="0" collapsed="false">
      <c r="A516" s="3" t="s">
        <v>279</v>
      </c>
      <c r="B516" s="3" t="s">
        <v>2352</v>
      </c>
      <c r="D516" s="4" t="str">
        <f aca="false">IF(AND(EXACT(B516,C516),NOT(AND(ISBLANK(B516),ISBLANK(C516)))), "Common", "")</f>
        <v/>
      </c>
    </row>
    <row r="517" customFormat="false" ht="15.75" hidden="false" customHeight="false" outlineLevel="0" collapsed="false">
      <c r="A517" s="3" t="s">
        <v>279</v>
      </c>
      <c r="B517" s="3" t="s">
        <v>2367</v>
      </c>
      <c r="D517" s="4" t="str">
        <f aca="false">IF(AND(EXACT(B517,C517),NOT(AND(ISBLANK(B517),ISBLANK(C517)))), "Common", "")</f>
        <v/>
      </c>
    </row>
    <row r="518" customFormat="false" ht="15.75" hidden="false" customHeight="false" outlineLevel="0" collapsed="false">
      <c r="A518" s="3" t="s">
        <v>279</v>
      </c>
      <c r="B518" s="3" t="s">
        <v>2369</v>
      </c>
      <c r="D518" s="4" t="str">
        <f aca="false">IF(AND(EXACT(B518,C518),NOT(AND(ISBLANK(B518),ISBLANK(C518)))), "Common", "")</f>
        <v/>
      </c>
    </row>
    <row r="519" customFormat="false" ht="15.75" hidden="false" customHeight="false" outlineLevel="0" collapsed="false">
      <c r="A519" s="3" t="s">
        <v>279</v>
      </c>
      <c r="C519" s="3" t="s">
        <v>2487</v>
      </c>
      <c r="D519" s="4" t="str">
        <f aca="false">IF(AND(EXACT(B519,C519),NOT(AND(ISBLANK(B519),ISBLANK(C519)))), "Common", "")</f>
        <v/>
      </c>
    </row>
    <row r="520" customFormat="false" ht="15.75" hidden="false" customHeight="false" outlineLevel="0" collapsed="false">
      <c r="A520" s="3" t="s">
        <v>279</v>
      </c>
      <c r="C520" s="3" t="s">
        <v>2474</v>
      </c>
      <c r="D520" s="4" t="str">
        <f aca="false">IF(AND(EXACT(B520,C520),NOT(AND(ISBLANK(B520),ISBLANK(C520)))), "Common", "")</f>
        <v/>
      </c>
    </row>
    <row r="521" customFormat="false" ht="15.75" hidden="false" customHeight="false" outlineLevel="0" collapsed="false">
      <c r="A521" s="3" t="s">
        <v>279</v>
      </c>
      <c r="B521" s="3" t="s">
        <v>2252</v>
      </c>
      <c r="C521" s="3" t="s">
        <v>2342</v>
      </c>
      <c r="D521" s="4" t="str">
        <f aca="false">IF(AND(EXACT(B521,C521),NOT(AND(ISBLANK(B521),ISBLANK(C521)))), "Common", "")</f>
        <v/>
      </c>
    </row>
    <row r="522" customFormat="false" ht="15.75" hidden="false" customHeight="false" outlineLevel="0" collapsed="false">
      <c r="A522" s="3" t="s">
        <v>279</v>
      </c>
      <c r="B522" s="3" t="s">
        <v>2250</v>
      </c>
      <c r="C522" s="3" t="s">
        <v>2250</v>
      </c>
      <c r="D522" s="4" t="str">
        <f aca="false">IF(AND(EXACT(B522,C522),NOT(AND(ISBLANK(B522),ISBLANK(C522)))), "Common", "")</f>
        <v>Common</v>
      </c>
    </row>
    <row r="523" customFormat="false" ht="15.75" hidden="false" customHeight="false" outlineLevel="0" collapsed="false">
      <c r="A523" s="3" t="s">
        <v>279</v>
      </c>
      <c r="B523" s="3" t="s">
        <v>2252</v>
      </c>
      <c r="C523" s="3" t="s">
        <v>2252</v>
      </c>
      <c r="D523" s="4" t="str">
        <f aca="false">IF(AND(EXACT(B523,C523),NOT(AND(ISBLANK(B523),ISBLANK(C523)))), "Common", "")</f>
        <v>Common</v>
      </c>
    </row>
    <row r="524" customFormat="false" ht="15.75" hidden="false" customHeight="false" outlineLevel="0" collapsed="false">
      <c r="A524" s="3" t="s">
        <v>279</v>
      </c>
      <c r="B524" s="3" t="s">
        <v>2254</v>
      </c>
      <c r="C524" s="3" t="s">
        <v>2254</v>
      </c>
      <c r="D524" s="4" t="str">
        <f aca="false">IF(AND(EXACT(B524,C524),NOT(AND(ISBLANK(B524),ISBLANK(C524)))), "Common", "")</f>
        <v>Common</v>
      </c>
    </row>
    <row r="525" customFormat="false" ht="15.75" hidden="false" customHeight="false" outlineLevel="0" collapsed="false">
      <c r="A525" s="3" t="s">
        <v>2685</v>
      </c>
      <c r="B525" s="3" t="s">
        <v>1848</v>
      </c>
      <c r="C525" s="3" t="s">
        <v>1848</v>
      </c>
      <c r="D525" s="4" t="str">
        <f aca="false">IF(AND(EXACT(B525,C525),NOT(AND(ISBLANK(B525),ISBLANK(C525)))), "Common", "")</f>
        <v>Common</v>
      </c>
    </row>
    <row r="526" customFormat="false" ht="15.75" hidden="false" customHeight="false" outlineLevel="0" collapsed="false">
      <c r="A526" s="3" t="s">
        <v>2685</v>
      </c>
      <c r="B526" s="3" t="s">
        <v>1934</v>
      </c>
      <c r="C526" s="3"/>
      <c r="D526" s="4" t="str">
        <f aca="false">IF(AND(EXACT(B526,C526),NOT(AND(ISBLANK(B526),ISBLANK(C526)))), "Common", "")</f>
        <v/>
      </c>
    </row>
    <row r="527" customFormat="false" ht="15.75" hidden="false" customHeight="false" outlineLevel="0" collapsed="false">
      <c r="A527" s="3" t="s">
        <v>279</v>
      </c>
      <c r="B527" s="3" t="s">
        <v>1690</v>
      </c>
      <c r="C527" s="3" t="s">
        <v>1690</v>
      </c>
      <c r="D527" s="4" t="str">
        <f aca="false">IF(AND(EXACT(B527,C527),NOT(AND(ISBLANK(B527),ISBLANK(C527)))), "Common", "")</f>
        <v>Common</v>
      </c>
    </row>
    <row r="528" customFormat="false" ht="15.75" hidden="false" customHeight="false" outlineLevel="0" collapsed="false">
      <c r="A528" s="3" t="s">
        <v>2684</v>
      </c>
      <c r="C528" s="3" t="s">
        <v>1484</v>
      </c>
      <c r="D528" s="4" t="str">
        <f aca="false">IF(AND(EXACT(B528,C528),NOT(AND(ISBLANK(B528),ISBLANK(C528)))), "Common", "")</f>
        <v/>
      </c>
    </row>
    <row r="529" customFormat="false" ht="15.75" hidden="false" customHeight="false" outlineLevel="0" collapsed="false">
      <c r="A529" s="3" t="s">
        <v>2684</v>
      </c>
      <c r="B529" s="3"/>
      <c r="C529" s="3" t="s">
        <v>1874</v>
      </c>
    </row>
    <row r="530" customFormat="false" ht="15.75" hidden="false" customHeight="false" outlineLevel="0" collapsed="false">
      <c r="A530" s="3" t="s">
        <v>2686</v>
      </c>
      <c r="B530" s="3" t="s">
        <v>2090</v>
      </c>
      <c r="D530" s="4" t="str">
        <f aca="false">IF(AND(EXACT(B530,C530),NOT(AND(ISBLANK(B530),ISBLANK(C530)))), "Common", "")</f>
        <v/>
      </c>
    </row>
    <row r="531" customFormat="false" ht="15.75" hidden="false" customHeight="false" outlineLevel="0" collapsed="false">
      <c r="A531" s="3" t="s">
        <v>2687</v>
      </c>
      <c r="B531" s="3" t="s">
        <v>2288</v>
      </c>
      <c r="C531" s="3" t="s">
        <v>1961</v>
      </c>
      <c r="D531" s="4" t="str">
        <f aca="false">IF(AND(EXACT(B531,C531),NOT(AND(ISBLANK(B531),ISBLANK(C531)))), "Common", "")</f>
        <v/>
      </c>
    </row>
    <row r="532" customFormat="false" ht="15.75" hidden="false" customHeight="false" outlineLevel="0" collapsed="false">
      <c r="A532" s="3" t="s">
        <v>2687</v>
      </c>
      <c r="B532" s="3" t="s">
        <v>2397</v>
      </c>
      <c r="C532" s="3"/>
      <c r="D532" s="4" t="str">
        <f aca="false">IF(AND(EXACT(B532,C532),NOT(AND(ISBLANK(B532),ISBLANK(C532)))), "Common", "")</f>
        <v/>
      </c>
    </row>
    <row r="533" customFormat="false" ht="15.75" hidden="false" customHeight="false" outlineLevel="0" collapsed="false">
      <c r="A533" s="3" t="s">
        <v>2687</v>
      </c>
      <c r="C533" s="3" t="s">
        <v>2484</v>
      </c>
      <c r="D533" s="4" t="str">
        <f aca="false">IF(AND(EXACT(B533,C533),NOT(AND(ISBLANK(B533),ISBLANK(C533)))), "Common", "")</f>
        <v/>
      </c>
    </row>
    <row r="534" customFormat="false" ht="15.75" hidden="false" customHeight="false" outlineLevel="0" collapsed="false">
      <c r="A534" s="3" t="s">
        <v>2687</v>
      </c>
      <c r="C534" s="3" t="s">
        <v>2500</v>
      </c>
      <c r="D534" s="4" t="str">
        <f aca="false">IF(AND(EXACT(B534,C534),NOT(AND(ISBLANK(B534),ISBLANK(C534)))), "Common", "")</f>
        <v/>
      </c>
    </row>
    <row r="535" customFormat="false" ht="15.75" hidden="false" customHeight="false" outlineLevel="0" collapsed="false">
      <c r="A535" s="3" t="s">
        <v>2654</v>
      </c>
      <c r="B535" s="3" t="s">
        <v>1729</v>
      </c>
      <c r="C535" s="3" t="s">
        <v>1729</v>
      </c>
      <c r="D535" s="4" t="str">
        <f aca="false">IF(AND(EXACT(B535,C535),NOT(AND(ISBLANK(B535),ISBLANK(C535)))), "Common", "")</f>
        <v>Common</v>
      </c>
    </row>
    <row r="536" customFormat="false" ht="15.75" hidden="false" customHeight="false" outlineLevel="0" collapsed="false">
      <c r="A536" s="3" t="s">
        <v>2688</v>
      </c>
      <c r="B536" s="3" t="s">
        <v>1735</v>
      </c>
      <c r="D536" s="4" t="str">
        <f aca="false">IF(AND(EXACT(B536,C536),NOT(AND(ISBLANK(B536),ISBLANK(C536)))), "Common", "")</f>
        <v/>
      </c>
    </row>
    <row r="537" customFormat="false" ht="15.75" hidden="false" customHeight="false" outlineLevel="0" collapsed="false">
      <c r="A537" s="3" t="s">
        <v>2689</v>
      </c>
      <c r="B537" s="3" t="s">
        <v>2146</v>
      </c>
      <c r="C537" s="3"/>
      <c r="D537" s="4" t="str">
        <f aca="false">IF(AND(EXACT(B537,C537),NOT(AND(ISBLANK(B537),ISBLANK(C537)))), "Common", "")</f>
        <v/>
      </c>
    </row>
    <row r="538" customFormat="false" ht="15.75" hidden="false" customHeight="false" outlineLevel="0" collapsed="false">
      <c r="A538" s="3"/>
      <c r="C538" s="3"/>
      <c r="D538" s="4" t="str">
        <f aca="false">IF(AND(EXACT(B538,C538),NOT(AND(ISBLANK(B538),ISBLANK(C538)))), "Common", "")</f>
        <v/>
      </c>
    </row>
    <row r="539" customFormat="false" ht="15.75" hidden="false" customHeight="false" outlineLevel="0" collapsed="false">
      <c r="A539" s="3"/>
      <c r="C539" s="3"/>
      <c r="D539" s="4" t="str">
        <f aca="false">IF(AND(EXACT(B539,C539),NOT(AND(ISBLANK(B539),ISBLANK(C539)))), "Common", "")</f>
        <v/>
      </c>
    </row>
    <row r="540" customFormat="false" ht="15.75" hidden="false" customHeight="false" outlineLevel="0" collapsed="false">
      <c r="A540" s="3" t="s">
        <v>2690</v>
      </c>
      <c r="C540" s="3"/>
      <c r="D540" s="4" t="str">
        <f aca="false">IF(AND(EXACT(B540,C540),NOT(AND(ISBLANK(B540),ISBLANK(C540)))), "Common", "")</f>
        <v/>
      </c>
    </row>
    <row r="541" customFormat="false" ht="15.75" hidden="false" customHeight="false" outlineLevel="0" collapsed="false">
      <c r="A541" s="3"/>
      <c r="C541" s="3"/>
      <c r="D541" s="4" t="str">
        <f aca="false">IF(AND(EXACT(B541,C541),NOT(AND(ISBLANK(B541),ISBLANK(C541)))), "Common", "")</f>
        <v/>
      </c>
    </row>
    <row r="542" customFormat="false" ht="15.75" hidden="false" customHeight="false" outlineLevel="0" collapsed="false">
      <c r="A542" s="3"/>
      <c r="C542" s="3"/>
      <c r="D542" s="4" t="str">
        <f aca="false">IF(AND(EXACT(B542,C542),NOT(AND(ISBLANK(B542),ISBLANK(C542)))), "Common", "")</f>
        <v/>
      </c>
    </row>
    <row r="543" customFormat="false" ht="15.75" hidden="false" customHeight="false" outlineLevel="0" collapsed="false">
      <c r="A543" s="3" t="s">
        <v>2691</v>
      </c>
      <c r="B543" s="3" t="s">
        <v>1483</v>
      </c>
      <c r="C543" s="3"/>
      <c r="D543" s="4" t="str">
        <f aca="false">IF(AND(EXACT(B543,C543),NOT(AND(ISBLANK(B543),ISBLANK(C543)))), "Common", "")</f>
        <v/>
      </c>
    </row>
    <row r="544" customFormat="false" ht="15.75" hidden="false" customHeight="false" outlineLevel="0" collapsed="false">
      <c r="A544" s="3" t="s">
        <v>2692</v>
      </c>
      <c r="C544" s="3" t="s">
        <v>1570</v>
      </c>
      <c r="D544" s="4" t="str">
        <f aca="false">IF(AND(EXACT(B544,C544),NOT(AND(ISBLANK(B544),ISBLANK(C544)))), "Common", "")</f>
        <v/>
      </c>
    </row>
    <row r="545" customFormat="false" ht="15.75" hidden="false" customHeight="false" outlineLevel="0" collapsed="false">
      <c r="A545" s="3" t="s">
        <v>2692</v>
      </c>
      <c r="C545" s="3" t="s">
        <v>1588</v>
      </c>
      <c r="D545" s="4" t="str">
        <f aca="false">IF(AND(EXACT(B545,C545),NOT(AND(ISBLANK(B545),ISBLANK(C545)))), "Common", "")</f>
        <v/>
      </c>
    </row>
    <row r="546" customFormat="false" ht="15.75" hidden="false" customHeight="false" outlineLevel="0" collapsed="false">
      <c r="A546" s="4"/>
      <c r="D546" s="4" t="str">
        <f aca="false">IF(AND(EXACT(B606,C606),NOT(AND(ISBLANK(B606),ISBLANK(C606)))), "Common", "")</f>
        <v/>
      </c>
    </row>
    <row r="547" customFormat="false" ht="15.75" hidden="false" customHeight="false" outlineLevel="0" collapsed="false">
      <c r="A547" s="3" t="s">
        <v>2692</v>
      </c>
      <c r="B547" s="3" t="s">
        <v>1751</v>
      </c>
      <c r="D547" s="4" t="str">
        <f aca="false">IF(AND(EXACT(B547,C547),NOT(AND(ISBLANK(B547),ISBLANK(C547)))), "Common", "")</f>
        <v/>
      </c>
    </row>
    <row r="548" customFormat="false" ht="15.75" hidden="false" customHeight="false" outlineLevel="0" collapsed="false">
      <c r="A548" s="3" t="s">
        <v>2693</v>
      </c>
      <c r="B548" s="3" t="s">
        <v>2163</v>
      </c>
      <c r="C548" s="3"/>
      <c r="D548" s="4" t="str">
        <f aca="false">IF(AND(EXACT(B548,C548),NOT(AND(ISBLANK(B548),ISBLANK(C548)))), "Common", "")</f>
        <v/>
      </c>
    </row>
    <row r="549" customFormat="false" ht="15.75" hidden="false" customHeight="false" outlineLevel="0" collapsed="false">
      <c r="A549" s="3" t="s">
        <v>2693</v>
      </c>
      <c r="C549" s="3" t="s">
        <v>2098</v>
      </c>
      <c r="D549" s="4" t="str">
        <f aca="false">IF(AND(EXACT(B549,C549),NOT(AND(ISBLANK(B549),ISBLANK(C549)))), "Common", "")</f>
        <v/>
      </c>
    </row>
    <row r="550" customFormat="false" ht="15.75" hidden="false" customHeight="false" outlineLevel="0" collapsed="false">
      <c r="A550" s="3" t="s">
        <v>2694</v>
      </c>
      <c r="B550" s="3"/>
      <c r="C550" s="3" t="s">
        <v>1749</v>
      </c>
      <c r="D550" s="4" t="str">
        <f aca="false">IF(AND(EXACT(B550,C550),NOT(AND(ISBLANK(B550),ISBLANK(C550)))), "Common", "")</f>
        <v/>
      </c>
    </row>
    <row r="551" customFormat="false" ht="15.75" hidden="false" customHeight="false" outlineLevel="0" collapsed="false">
      <c r="A551" s="3" t="s">
        <v>2693</v>
      </c>
      <c r="B551" s="3" t="s">
        <v>1943</v>
      </c>
      <c r="C551" s="3" t="s">
        <v>1943</v>
      </c>
      <c r="D551" s="4" t="str">
        <f aca="false">IF(AND(EXACT(B551,C551),NOT(AND(ISBLANK(B551),ISBLANK(C551)))), "Common", "")</f>
        <v>Common</v>
      </c>
    </row>
    <row r="552" customFormat="false" ht="15.75" hidden="false" customHeight="false" outlineLevel="0" collapsed="false">
      <c r="A552" s="3" t="s">
        <v>2693</v>
      </c>
      <c r="B552" s="3" t="s">
        <v>1946</v>
      </c>
      <c r="C552" s="3" t="s">
        <v>1946</v>
      </c>
      <c r="D552" s="4" t="str">
        <f aca="false">IF(AND(EXACT(B552,C552),NOT(AND(ISBLANK(B552),ISBLANK(C552)))), "Common", "")</f>
        <v>Common</v>
      </c>
    </row>
    <row r="553" customFormat="false" ht="15.75" hidden="false" customHeight="false" outlineLevel="0" collapsed="false">
      <c r="A553" s="3" t="s">
        <v>2695</v>
      </c>
      <c r="B553" s="3" t="s">
        <v>1650</v>
      </c>
      <c r="C553" s="3" t="s">
        <v>1650</v>
      </c>
      <c r="D553" s="4" t="str">
        <f aca="false">IF(AND(EXACT(B553,C553),NOT(AND(ISBLANK(B553),ISBLANK(C553)))), "Common", "")</f>
        <v>Common</v>
      </c>
    </row>
    <row r="554" customFormat="false" ht="15.75" hidden="false" customHeight="false" outlineLevel="0" collapsed="false">
      <c r="A554" s="3" t="s">
        <v>2695</v>
      </c>
      <c r="B554" s="3" t="s">
        <v>1760</v>
      </c>
      <c r="C554" s="3"/>
      <c r="D554" s="4" t="str">
        <f aca="false">IF(AND(EXACT(B554,C554),NOT(AND(ISBLANK(B554),ISBLANK(C554)))), "Common", "")</f>
        <v/>
      </c>
    </row>
    <row r="555" customFormat="false" ht="15.75" hidden="false" customHeight="false" outlineLevel="0" collapsed="false">
      <c r="A555" s="3" t="s">
        <v>2696</v>
      </c>
      <c r="B555" s="3" t="s">
        <v>2170</v>
      </c>
      <c r="C555" s="3"/>
      <c r="D555" s="4" t="str">
        <f aca="false">IF(AND(EXACT(B555,C555),NOT(AND(ISBLANK(B555),ISBLANK(C555)))), "Common", "")</f>
        <v/>
      </c>
    </row>
    <row r="556" customFormat="false" ht="15.75" hidden="false" customHeight="false" outlineLevel="0" collapsed="false">
      <c r="A556" s="3" t="s">
        <v>2697</v>
      </c>
      <c r="B556" s="3" t="s">
        <v>2260</v>
      </c>
      <c r="C556" s="3" t="s">
        <v>2260</v>
      </c>
      <c r="D556" s="4" t="str">
        <f aca="false">IF(AND(EXACT(B556,C556),NOT(AND(ISBLANK(B556),ISBLANK(C556)))), "Common", "")</f>
        <v>Common</v>
      </c>
    </row>
    <row r="557" customFormat="false" ht="15.75" hidden="false" customHeight="false" outlineLevel="0" collapsed="false">
      <c r="A557" s="3" t="s">
        <v>2697</v>
      </c>
      <c r="B557" s="3"/>
      <c r="C557" s="3" t="s">
        <v>1960</v>
      </c>
      <c r="D557" s="4" t="str">
        <f aca="false">IF(AND(EXACT(B557,C557),NOT(AND(ISBLANK(B557),ISBLANK(C557)))), "Common", "")</f>
        <v/>
      </c>
    </row>
    <row r="558" customFormat="false" ht="15.75" hidden="false" customHeight="false" outlineLevel="0" collapsed="false">
      <c r="A558" s="3" t="s">
        <v>2697</v>
      </c>
      <c r="B558" s="3"/>
      <c r="C558" s="3" t="s">
        <v>1958</v>
      </c>
      <c r="D558" s="4" t="str">
        <f aca="false">IF(AND(EXACT(B558,C558),NOT(AND(ISBLANK(B558),ISBLANK(C558)))), "Common", "")</f>
        <v/>
      </c>
    </row>
    <row r="559" customFormat="false" ht="15.75" hidden="false" customHeight="false" outlineLevel="0" collapsed="false">
      <c r="A559" s="3" t="s">
        <v>2695</v>
      </c>
      <c r="B559" s="3"/>
      <c r="C559" s="3" t="s">
        <v>2559</v>
      </c>
    </row>
    <row r="560" customFormat="false" ht="15.75" hidden="false" customHeight="false" outlineLevel="0" collapsed="false">
      <c r="A560" s="3" t="s">
        <v>2698</v>
      </c>
      <c r="C560" s="3" t="s">
        <v>1612</v>
      </c>
      <c r="D560" s="4" t="str">
        <f aca="false">IF(AND(EXACT(B560,C560),NOT(AND(ISBLANK(B560),ISBLANK(C560)))), "Common", "")</f>
        <v/>
      </c>
    </row>
    <row r="561" customFormat="false" ht="15.75" hidden="false" customHeight="false" outlineLevel="0" collapsed="false">
      <c r="A561" s="3" t="s">
        <v>2698</v>
      </c>
      <c r="B561" s="3" t="s">
        <v>1745</v>
      </c>
      <c r="D561" s="4" t="str">
        <f aca="false">IF(AND(EXACT(B561,C561),NOT(AND(ISBLANK(B561),ISBLANK(C561)))), "Common", "")</f>
        <v/>
      </c>
    </row>
    <row r="562" customFormat="false" ht="15.75" hidden="false" customHeight="false" outlineLevel="0" collapsed="false">
      <c r="A562" s="3" t="s">
        <v>2699</v>
      </c>
      <c r="B562" s="3" t="s">
        <v>2159</v>
      </c>
      <c r="C562" s="3"/>
      <c r="D562" s="4" t="str">
        <f aca="false">IF(AND(EXACT(B562,C562),NOT(AND(ISBLANK(B562),ISBLANK(C562)))), "Common", "")</f>
        <v/>
      </c>
    </row>
    <row r="563" customFormat="false" ht="15.75" hidden="false" customHeight="false" outlineLevel="0" collapsed="false">
      <c r="A563" s="3" t="s">
        <v>2699</v>
      </c>
      <c r="B563" s="3"/>
      <c r="C563" s="3" t="s">
        <v>2078</v>
      </c>
      <c r="D563" s="4" t="str">
        <f aca="false">IF(AND(EXACT(B563,C563),NOT(AND(ISBLANK(B563),ISBLANK(C563)))), "Common", "")</f>
        <v/>
      </c>
    </row>
    <row r="564" customFormat="false" ht="15.75" hidden="false" customHeight="false" outlineLevel="0" collapsed="false">
      <c r="A564" s="3" t="s">
        <v>2699</v>
      </c>
      <c r="B564" s="3"/>
      <c r="C564" s="3" t="s">
        <v>2108</v>
      </c>
      <c r="D564" s="4" t="str">
        <f aca="false">IF(AND(EXACT(B564,C564),NOT(AND(ISBLANK(B564),ISBLANK(C564)))), "Common", "")</f>
        <v/>
      </c>
    </row>
    <row r="565" customFormat="false" ht="15.75" hidden="false" customHeight="false" outlineLevel="0" collapsed="false">
      <c r="A565" s="3" t="s">
        <v>2700</v>
      </c>
      <c r="B565" s="3" t="s">
        <v>1792</v>
      </c>
      <c r="C565" s="3" t="s">
        <v>1792</v>
      </c>
      <c r="D565" s="4" t="str">
        <f aca="false">IF(AND(EXACT(B565,C565),NOT(AND(ISBLANK(B565),ISBLANK(C565)))), "Common", "")</f>
        <v>Common</v>
      </c>
    </row>
    <row r="566" customFormat="false" ht="15.75" hidden="false" customHeight="false" outlineLevel="0" collapsed="false">
      <c r="A566" s="3" t="s">
        <v>2700</v>
      </c>
      <c r="B566" s="3" t="s">
        <v>1886</v>
      </c>
      <c r="D566" s="4" t="str">
        <f aca="false">IF(AND(EXACT(B566,C566),NOT(AND(ISBLANK(B566),ISBLANK(C566)))), "Common", "")</f>
        <v/>
      </c>
    </row>
    <row r="567" customFormat="false" ht="15.75" hidden="false" customHeight="false" outlineLevel="0" collapsed="false">
      <c r="A567" s="3" t="s">
        <v>2700</v>
      </c>
      <c r="B567" s="3" t="s">
        <v>1878</v>
      </c>
      <c r="D567" s="4" t="str">
        <f aca="false">IF(AND(EXACT(B567,C567),NOT(AND(ISBLANK(B567),ISBLANK(C567)))), "Common", "")</f>
        <v/>
      </c>
    </row>
    <row r="568" customFormat="false" ht="15.75" hidden="false" customHeight="false" outlineLevel="0" collapsed="false">
      <c r="A568" s="3" t="s">
        <v>2700</v>
      </c>
      <c r="B568" s="3" t="s">
        <v>1880</v>
      </c>
      <c r="D568" s="4" t="str">
        <f aca="false">IF(AND(EXACT(B568,C568),NOT(AND(ISBLANK(B568),ISBLANK(C568)))), "Common", "")</f>
        <v/>
      </c>
    </row>
    <row r="569" customFormat="false" ht="15.75" hidden="false" customHeight="false" outlineLevel="0" collapsed="false">
      <c r="A569" s="3" t="s">
        <v>2700</v>
      </c>
      <c r="C569" s="3" t="s">
        <v>1788</v>
      </c>
      <c r="D569" s="4" t="str">
        <f aca="false">IF(AND(EXACT(B569,C569),NOT(AND(ISBLANK(B569),ISBLANK(C569)))), "Common", "")</f>
        <v/>
      </c>
    </row>
    <row r="570" customFormat="false" ht="15.75" hidden="false" customHeight="false" outlineLevel="0" collapsed="false">
      <c r="A570" s="3" t="s">
        <v>2700</v>
      </c>
      <c r="B570" s="3"/>
      <c r="C570" s="3" t="s">
        <v>1790</v>
      </c>
      <c r="D570" s="4" t="str">
        <f aca="false">IF(AND(EXACT(B570,C570),NOT(AND(ISBLANK(B570),ISBLANK(C570)))), "Common", "")</f>
        <v/>
      </c>
    </row>
    <row r="571" customFormat="false" ht="15.75" hidden="false" customHeight="false" outlineLevel="0" collapsed="false">
      <c r="A571" s="3" t="s">
        <v>2700</v>
      </c>
      <c r="B571" s="3"/>
      <c r="C571" s="3" t="s">
        <v>1793</v>
      </c>
      <c r="D571" s="4" t="str">
        <f aca="false">IF(AND(EXACT(B571,C571),NOT(AND(ISBLANK(B571),ISBLANK(C571)))), "Common", "")</f>
        <v/>
      </c>
    </row>
    <row r="572" customFormat="false" ht="15.75" hidden="false" customHeight="false" outlineLevel="0" collapsed="false">
      <c r="A572" s="3" t="s">
        <v>2700</v>
      </c>
      <c r="B572" s="3"/>
      <c r="C572" s="3" t="s">
        <v>2465</v>
      </c>
      <c r="D572" s="4" t="str">
        <f aca="false">IF(AND(EXACT(B572,C572),NOT(AND(ISBLANK(B572),ISBLANK(C572)))), "Common", "")</f>
        <v/>
      </c>
    </row>
    <row r="573" customFormat="false" ht="15.75" hidden="false" customHeight="false" outlineLevel="0" collapsed="false">
      <c r="A573" s="4"/>
    </row>
    <row r="574" customFormat="false" ht="15.75" hidden="false" customHeight="false" outlineLevel="0" collapsed="false">
      <c r="A574" s="3" t="s">
        <v>2700</v>
      </c>
      <c r="B574" s="3" t="s">
        <v>1727</v>
      </c>
      <c r="C574" s="3" t="s">
        <v>1727</v>
      </c>
      <c r="D574" s="4" t="str">
        <f aca="false">IF(AND(EXACT(B574,C574),NOT(AND(ISBLANK(B574),ISBLANK(C574)))), "Common", "")</f>
        <v>Common</v>
      </c>
    </row>
    <row r="575" customFormat="false" ht="15.75" hidden="false" customHeight="false" outlineLevel="0" collapsed="false">
      <c r="A575" s="3" t="s">
        <v>2701</v>
      </c>
      <c r="B575" s="3" t="s">
        <v>1652</v>
      </c>
      <c r="C575" s="3" t="s">
        <v>1652</v>
      </c>
      <c r="D575" s="4" t="str">
        <f aca="false">IF(AND(EXACT(B575,C575),NOT(AND(ISBLANK(B575),ISBLANK(C575)))), "Common", "")</f>
        <v>Common</v>
      </c>
    </row>
    <row r="576" customFormat="false" ht="15.75" hidden="false" customHeight="false" outlineLevel="0" collapsed="false">
      <c r="A576" s="3" t="s">
        <v>2701</v>
      </c>
      <c r="B576" s="3" t="s">
        <v>1764</v>
      </c>
      <c r="C576" s="3"/>
      <c r="D576" s="4" t="str">
        <f aca="false">IF(AND(EXACT(B576,C576),NOT(AND(ISBLANK(B576),ISBLANK(C576)))), "Common", "")</f>
        <v/>
      </c>
    </row>
    <row r="577" customFormat="false" ht="15.75" hidden="false" customHeight="false" outlineLevel="0" collapsed="false">
      <c r="A577" s="3" t="s">
        <v>2701</v>
      </c>
      <c r="B577" s="3" t="s">
        <v>1766</v>
      </c>
      <c r="C577" s="18"/>
      <c r="D577" s="4" t="str">
        <f aca="false">IF(AND(EXACT(B577,C577),NOT(AND(ISBLANK(B577),ISBLANK(C577)))), "Common", "")</f>
        <v/>
      </c>
    </row>
    <row r="578" customFormat="false" ht="15.75" hidden="false" customHeight="false" outlineLevel="0" collapsed="false">
      <c r="A578" s="3" t="s">
        <v>2702</v>
      </c>
      <c r="B578" s="3" t="s">
        <v>2101</v>
      </c>
      <c r="C578" s="3" t="s">
        <v>2101</v>
      </c>
      <c r="D578" s="4" t="str">
        <f aca="false">IF(AND(EXACT(B578,C578),NOT(AND(ISBLANK(B578),ISBLANK(C578)))), "Common", "")</f>
        <v>Common</v>
      </c>
    </row>
    <row r="579" customFormat="false" ht="15.75" hidden="false" customHeight="false" outlineLevel="0" collapsed="false">
      <c r="A579" s="3" t="s">
        <v>2702</v>
      </c>
      <c r="B579" s="3" t="s">
        <v>2176</v>
      </c>
      <c r="C579" s="3"/>
      <c r="D579" s="4" t="str">
        <f aca="false">IF(AND(EXACT(B579,C579),NOT(AND(ISBLANK(B579),ISBLANK(C579)))), "Common", "")</f>
        <v/>
      </c>
    </row>
    <row r="580" customFormat="false" ht="15.75" hidden="false" customHeight="false" outlineLevel="0" collapsed="false">
      <c r="A580" s="3" t="s">
        <v>2702</v>
      </c>
      <c r="B580" s="3" t="s">
        <v>2178</v>
      </c>
      <c r="D580" s="4" t="str">
        <f aca="false">IF(AND(EXACT(B580,C580),NOT(AND(ISBLANK(B580),ISBLANK(C580)))), "Common", "")</f>
        <v/>
      </c>
    </row>
    <row r="581" customFormat="false" ht="15.75" hidden="false" customHeight="false" outlineLevel="0" collapsed="false">
      <c r="A581" s="3" t="s">
        <v>2700</v>
      </c>
      <c r="B581" s="3" t="s">
        <v>2187</v>
      </c>
      <c r="C581" s="3"/>
      <c r="D581" s="4" t="str">
        <f aca="false">IF(AND(EXACT(B581,C581),NOT(AND(ISBLANK(B581),ISBLANK(C581)))), "Common", "")</f>
        <v/>
      </c>
    </row>
    <row r="582" customFormat="false" ht="15.75" hidden="false" customHeight="false" outlineLevel="0" collapsed="false">
      <c r="A582" s="3" t="s">
        <v>2703</v>
      </c>
      <c r="B582" s="3"/>
      <c r="C582" s="3" t="s">
        <v>1580</v>
      </c>
      <c r="D582" s="4" t="str">
        <f aca="false">IF(AND(EXACT(B582,C582),NOT(AND(ISBLANK(B582),ISBLANK(C582)))), "Common", "")</f>
        <v/>
      </c>
    </row>
    <row r="583" customFormat="false" ht="15.75" hidden="false" customHeight="false" outlineLevel="0" collapsed="false">
      <c r="A583" s="3" t="s">
        <v>2704</v>
      </c>
      <c r="B583" s="3"/>
      <c r="C583" s="3" t="s">
        <v>2061</v>
      </c>
    </row>
    <row r="584" customFormat="false" ht="15.75" hidden="false" customHeight="false" outlineLevel="0" collapsed="false">
      <c r="A584" s="3" t="s">
        <v>2705</v>
      </c>
      <c r="B584" s="3"/>
      <c r="C584" s="3" t="s">
        <v>2467</v>
      </c>
      <c r="D584" s="4" t="str">
        <f aca="false">IF(AND(EXACT(B584,C584),NOT(AND(ISBLANK(B584),ISBLANK(C584)))), "Common", "")</f>
        <v/>
      </c>
    </row>
    <row r="585" customFormat="false" ht="15.75" hidden="false" customHeight="false" outlineLevel="0" collapsed="false">
      <c r="A585" s="3" t="s">
        <v>2705</v>
      </c>
      <c r="B585" s="3"/>
      <c r="C585" s="3" t="s">
        <v>2469</v>
      </c>
      <c r="D585" s="4" t="str">
        <f aca="false">IF(AND(EXACT(B585,C585),NOT(AND(ISBLANK(B585),ISBLANK(C585)))), "Common", "")</f>
        <v/>
      </c>
    </row>
    <row r="586" customFormat="false" ht="15.75" hidden="false" customHeight="false" outlineLevel="0" collapsed="false">
      <c r="A586" s="3" t="s">
        <v>2705</v>
      </c>
      <c r="C586" s="10" t="s">
        <v>2471</v>
      </c>
      <c r="D586" s="4" t="str">
        <f aca="false">IF(AND(EXACT(B586,C586),NOT(AND(ISBLANK(B586),ISBLANK(C586)))), "Common", "")</f>
        <v/>
      </c>
    </row>
    <row r="587" customFormat="false" ht="15.75" hidden="false" customHeight="false" outlineLevel="0" collapsed="false">
      <c r="A587" s="3" t="s">
        <v>2705</v>
      </c>
      <c r="B587" s="3"/>
      <c r="C587" s="3" t="s">
        <v>2017</v>
      </c>
      <c r="D587" s="4" t="str">
        <f aca="false">IF(AND(EXACT(B587,C587),NOT(AND(ISBLANK(B587),ISBLANK(C587)))), "Common", "")</f>
        <v/>
      </c>
    </row>
    <row r="588" customFormat="false" ht="15.75" hidden="false" customHeight="false" outlineLevel="0" collapsed="false">
      <c r="A588" s="3" t="s">
        <v>2706</v>
      </c>
      <c r="B588" s="3" t="s">
        <v>1596</v>
      </c>
      <c r="C588" s="3" t="s">
        <v>1596</v>
      </c>
      <c r="D588" s="4" t="str">
        <f aca="false">IF(AND(EXACT(B588,C588),NOT(AND(ISBLANK(B588),ISBLANK(C588)))), "Common", "")</f>
        <v>Common</v>
      </c>
    </row>
    <row r="589" customFormat="false" ht="15.75" hidden="false" customHeight="false" outlineLevel="0" collapsed="false">
      <c r="A589" s="3" t="s">
        <v>2706</v>
      </c>
      <c r="B589" s="3"/>
      <c r="C589" s="3" t="s">
        <v>1586</v>
      </c>
      <c r="D589" s="4" t="str">
        <f aca="false">IF(AND(EXACT(B589,C589),NOT(AND(ISBLANK(B589),ISBLANK(C589)))), "Common", "")</f>
        <v/>
      </c>
    </row>
    <row r="590" customFormat="false" ht="15.75" hidden="false" customHeight="false" outlineLevel="0" collapsed="false">
      <c r="A590" s="3" t="s">
        <v>2707</v>
      </c>
      <c r="B590" s="3" t="s">
        <v>2153</v>
      </c>
      <c r="C590" s="3"/>
      <c r="D590" s="4" t="str">
        <f aca="false">IF(AND(EXACT(B590,C590),NOT(AND(ISBLANK(B590),ISBLANK(C590)))), "Common", "")</f>
        <v/>
      </c>
    </row>
    <row r="591" customFormat="false" ht="15.75" hidden="false" customHeight="false" outlineLevel="0" collapsed="false">
      <c r="A591" s="3" t="s">
        <v>2708</v>
      </c>
      <c r="B591" s="3"/>
      <c r="C591" s="3" t="s">
        <v>2038</v>
      </c>
      <c r="D591" s="4" t="str">
        <f aca="false">IF(AND(EXACT(B591,C591),NOT(AND(ISBLANK(B591),ISBLANK(C591)))), "Common", "")</f>
        <v/>
      </c>
    </row>
    <row r="592" customFormat="false" ht="15.75" hidden="false" customHeight="false" outlineLevel="0" collapsed="false">
      <c r="A592" s="3" t="s">
        <v>2708</v>
      </c>
      <c r="B592" s="3"/>
      <c r="C592" s="3" t="s">
        <v>2040</v>
      </c>
      <c r="D592" s="4" t="str">
        <f aca="false">IF(AND(EXACT(B592,C592),NOT(AND(ISBLANK(B592),ISBLANK(C592)))), "Common", "")</f>
        <v/>
      </c>
    </row>
    <row r="593" customFormat="false" ht="15.75" hidden="false" customHeight="false" outlineLevel="0" collapsed="false">
      <c r="A593" s="3" t="s">
        <v>2708</v>
      </c>
      <c r="B593" s="3"/>
      <c r="C593" s="3" t="s">
        <v>2042</v>
      </c>
      <c r="D593" s="4" t="str">
        <f aca="false">IF(AND(EXACT(B593,C593),NOT(AND(ISBLANK(B593),ISBLANK(C593)))), "Common", "")</f>
        <v/>
      </c>
    </row>
    <row r="594" customFormat="false" ht="15.75" hidden="false" customHeight="false" outlineLevel="0" collapsed="false">
      <c r="A594" s="3" t="s">
        <v>2708</v>
      </c>
      <c r="B594" s="3"/>
      <c r="C594" s="3" t="s">
        <v>2046</v>
      </c>
      <c r="D594" s="4" t="str">
        <f aca="false">IF(AND(EXACT(B594,C594),NOT(AND(ISBLANK(B594),ISBLANK(C594)))), "Common", "")</f>
        <v/>
      </c>
    </row>
    <row r="595" customFormat="false" ht="15.75" hidden="false" customHeight="false" outlineLevel="0" collapsed="false">
      <c r="A595" s="3" t="s">
        <v>2708</v>
      </c>
      <c r="B595" s="3"/>
      <c r="C595" s="3" t="s">
        <v>2048</v>
      </c>
      <c r="D595" s="4" t="str">
        <f aca="false">IF(AND(EXACT(B595,C595),NOT(AND(ISBLANK(B595),ISBLANK(C595)))), "Common", "")</f>
        <v/>
      </c>
    </row>
    <row r="596" customFormat="false" ht="15.75" hidden="false" customHeight="false" outlineLevel="0" collapsed="false">
      <c r="A596" s="3" t="s">
        <v>2709</v>
      </c>
      <c r="B596" s="3"/>
      <c r="C596" s="3" t="s">
        <v>1542</v>
      </c>
      <c r="D596" s="4" t="str">
        <f aca="false">IF(AND(EXACT(B596,C596),NOT(AND(ISBLANK(B596),ISBLANK(C596)))), "Common", "")</f>
        <v/>
      </c>
    </row>
    <row r="597" customFormat="false" ht="15.75" hidden="false" customHeight="false" outlineLevel="0" collapsed="false">
      <c r="A597" s="3" t="s">
        <v>2710</v>
      </c>
      <c r="B597" s="3"/>
      <c r="C597" s="3" t="s">
        <v>2029</v>
      </c>
      <c r="D597" s="4" t="str">
        <f aca="false">IF(AND(EXACT(B597,C597),NOT(AND(ISBLANK(B597),ISBLANK(C597)))), "Common", "")</f>
        <v/>
      </c>
    </row>
    <row r="598" customFormat="false" ht="15.75" hidden="false" customHeight="false" outlineLevel="0" collapsed="false">
      <c r="A598" s="3" t="s">
        <v>2710</v>
      </c>
      <c r="B598" s="3"/>
      <c r="C598" s="3" t="s">
        <v>2019</v>
      </c>
      <c r="D598" s="4" t="str">
        <f aca="false">IF(AND(EXACT(B598,C598),NOT(AND(ISBLANK(B598),ISBLANK(C598)))), "Common", "")</f>
        <v/>
      </c>
    </row>
    <row r="599" customFormat="false" ht="15.75" hidden="false" customHeight="false" outlineLevel="0" collapsed="false">
      <c r="A599" s="3" t="s">
        <v>2710</v>
      </c>
      <c r="B599" s="3"/>
      <c r="C599" s="3" t="s">
        <v>2021</v>
      </c>
      <c r="D599" s="4" t="str">
        <f aca="false">IF(AND(EXACT(B599,C599),NOT(AND(ISBLANK(B599),ISBLANK(C599)))), "Common", "")</f>
        <v/>
      </c>
    </row>
    <row r="600" customFormat="false" ht="15.75" hidden="false" customHeight="false" outlineLevel="0" collapsed="false">
      <c r="A600" s="3" t="s">
        <v>2711</v>
      </c>
      <c r="B600" s="3" t="s">
        <v>1737</v>
      </c>
      <c r="C600" s="3"/>
      <c r="D600" s="4" t="str">
        <f aca="false">IF(AND(EXACT(B600,C600),NOT(AND(ISBLANK(B600),ISBLANK(C600)))), "Common", "")</f>
        <v/>
      </c>
    </row>
    <row r="601" customFormat="false" ht="15.75" hidden="false" customHeight="false" outlineLevel="0" collapsed="false">
      <c r="A601" s="3" t="s">
        <v>2711</v>
      </c>
      <c r="B601" s="3" t="s">
        <v>1614</v>
      </c>
      <c r="C601" s="3" t="s">
        <v>1614</v>
      </c>
      <c r="D601" s="4" t="str">
        <f aca="false">IF(AND(EXACT(B601,C601),NOT(AND(ISBLANK(B601),ISBLANK(C601)))), "Common", "")</f>
        <v>Common</v>
      </c>
    </row>
    <row r="602" customFormat="false" ht="15.75" hidden="false" customHeight="false" outlineLevel="0" collapsed="false">
      <c r="A602" s="3" t="s">
        <v>2711</v>
      </c>
      <c r="B602" s="3" t="s">
        <v>1791</v>
      </c>
      <c r="C602" s="3" t="s">
        <v>1540</v>
      </c>
    </row>
    <row r="603" customFormat="false" ht="15.75" hidden="false" customHeight="false" outlineLevel="0" collapsed="false">
      <c r="A603" s="3" t="s">
        <v>2712</v>
      </c>
      <c r="B603" s="3" t="s">
        <v>2079</v>
      </c>
      <c r="C603" s="3" t="s">
        <v>2079</v>
      </c>
      <c r="D603" s="4" t="str">
        <f aca="false">IF(AND(EXACT(B603,C603),NOT(AND(ISBLANK(B603),ISBLANK(C603)))), "Common", "")</f>
        <v>Common</v>
      </c>
    </row>
    <row r="604" customFormat="false" ht="15.75" hidden="false" customHeight="false" outlineLevel="0" collapsed="false">
      <c r="A604" s="3" t="s">
        <v>2712</v>
      </c>
      <c r="B604" s="3" t="s">
        <v>2148</v>
      </c>
      <c r="C604" s="3"/>
      <c r="D604" s="4" t="str">
        <f aca="false">IF(AND(EXACT(B604,C604),NOT(AND(ISBLANK(B604),ISBLANK(C604)))), "Common", "")</f>
        <v/>
      </c>
    </row>
    <row r="605" customFormat="false" ht="15.75" hidden="false" customHeight="false" outlineLevel="0" collapsed="false">
      <c r="A605" s="3" t="s">
        <v>2712</v>
      </c>
      <c r="B605" s="3"/>
      <c r="C605" s="3" t="s">
        <v>2085</v>
      </c>
      <c r="D605" s="4" t="str">
        <f aca="false">IF(AND(EXACT(B605,C605),NOT(AND(ISBLANK(B605),ISBLANK(C605)))), "Common", "")</f>
        <v/>
      </c>
    </row>
    <row r="606" customFormat="false" ht="15.75" hidden="false" customHeight="false" outlineLevel="0" collapsed="false">
      <c r="A606" s="3" t="s">
        <v>2711</v>
      </c>
      <c r="C606" s="3" t="s">
        <v>1620</v>
      </c>
    </row>
    <row r="607" customFormat="false" ht="15.75" hidden="false" customHeight="false" outlineLevel="0" collapsed="false">
      <c r="A607" s="6" t="s">
        <v>2713</v>
      </c>
      <c r="B607" s="3"/>
      <c r="C607" s="3" t="s">
        <v>1732</v>
      </c>
    </row>
    <row r="608" customFormat="false" ht="15.75" hidden="false" customHeight="false" outlineLevel="0" collapsed="false">
      <c r="A608" s="3" t="s">
        <v>2714</v>
      </c>
      <c r="B608" s="3"/>
      <c r="C608" s="3" t="s">
        <v>1572</v>
      </c>
      <c r="D608" s="4" t="str">
        <f aca="false">IF(AND(EXACT(B608,C608),NOT(AND(ISBLANK(B608),ISBLANK(C608)))), "Common", "")</f>
        <v/>
      </c>
    </row>
    <row r="609" customFormat="false" ht="15.75" hidden="false" customHeight="false" outlineLevel="0" collapsed="false">
      <c r="A609" s="3" t="s">
        <v>2715</v>
      </c>
      <c r="B609" s="3" t="s">
        <v>1755</v>
      </c>
      <c r="C609" s="3"/>
      <c r="D609" s="4" t="str">
        <f aca="false">IF(AND(EXACT(B609,C609),NOT(AND(ISBLANK(B609),ISBLANK(C609)))), "Common", "")</f>
        <v/>
      </c>
    </row>
    <row r="610" customFormat="false" ht="15.75" hidden="false" customHeight="false" outlineLevel="0" collapsed="false">
      <c r="A610" s="3" t="s">
        <v>2716</v>
      </c>
      <c r="B610" s="3" t="s">
        <v>1828</v>
      </c>
      <c r="C610" s="3"/>
      <c r="D610" s="4" t="str">
        <f aca="false">IF(AND(EXACT(B610,C610),NOT(AND(ISBLANK(B610),ISBLANK(C610)))), "Common", "")</f>
        <v/>
      </c>
    </row>
    <row r="611" customFormat="false" ht="15.75" hidden="false" customHeight="false" outlineLevel="0" collapsed="false">
      <c r="A611" s="3" t="s">
        <v>2716</v>
      </c>
      <c r="B611" s="3" t="s">
        <v>2189</v>
      </c>
      <c r="C611" s="3"/>
      <c r="D611" s="4" t="str">
        <f aca="false">IF(AND(EXACT(B611,C611),NOT(AND(ISBLANK(B611),ISBLANK(C611)))), "Common", "")</f>
        <v/>
      </c>
    </row>
    <row r="612" customFormat="false" ht="15.75" hidden="false" customHeight="false" outlineLevel="0" collapsed="false">
      <c r="A612" s="3" t="s">
        <v>2717</v>
      </c>
      <c r="C612" s="3" t="s">
        <v>1644</v>
      </c>
      <c r="D612" s="4" t="str">
        <f aca="false">IF(AND(EXACT(B612,C612),NOT(AND(ISBLANK(B612),ISBLANK(C612)))), "Common", "")</f>
        <v/>
      </c>
    </row>
    <row r="613" customFormat="false" ht="15.75" hidden="false" customHeight="false" outlineLevel="0" collapsed="false">
      <c r="A613" s="3" t="s">
        <v>2717</v>
      </c>
      <c r="B613" s="3"/>
      <c r="C613" s="3" t="s">
        <v>1646</v>
      </c>
      <c r="D613" s="4" t="str">
        <f aca="false">IF(AND(EXACT(B613,C613),NOT(AND(ISBLANK(B613),ISBLANK(C613)))), "Common", "")</f>
        <v/>
      </c>
    </row>
    <row r="614" customFormat="false" ht="15.75" hidden="false" customHeight="false" outlineLevel="0" collapsed="false">
      <c r="A614" s="3" t="s">
        <v>2717</v>
      </c>
      <c r="B614" s="3"/>
      <c r="C614" s="3" t="s">
        <v>1648</v>
      </c>
      <c r="D614" s="4" t="str">
        <f aca="false">IF(AND(EXACT(B614,C614),NOT(AND(ISBLANK(B614),ISBLANK(C614)))), "Common", "")</f>
        <v/>
      </c>
    </row>
    <row r="615" customFormat="false" ht="15.75" hidden="false" customHeight="false" outlineLevel="0" collapsed="false">
      <c r="A615" s="4"/>
      <c r="B615" s="3"/>
    </row>
    <row r="616" customFormat="false" ht="15.75" hidden="false" customHeight="false" outlineLevel="0" collapsed="false">
      <c r="A616" s="3"/>
      <c r="B616" s="3"/>
      <c r="C616" s="3"/>
      <c r="D616" s="4" t="str">
        <f aca="false">IF(AND(EXACT(B616,C616),NOT(AND(ISBLANK(B616),ISBLANK(C616)))), "Common", "")</f>
        <v/>
      </c>
    </row>
    <row r="617" customFormat="false" ht="15.75" hidden="false" customHeight="false" outlineLevel="0" collapsed="false">
      <c r="A617" s="3" t="s">
        <v>2718</v>
      </c>
      <c r="B617" s="3" t="s">
        <v>1837</v>
      </c>
      <c r="C617" s="3"/>
      <c r="D617" s="4" t="str">
        <f aca="false">IF(AND(EXACT(B617,C617),NOT(AND(ISBLANK(B617),ISBLANK(C617)))), "Common", "")</f>
        <v/>
      </c>
    </row>
    <row r="618" customFormat="false" ht="15.75" hidden="false" customHeight="false" outlineLevel="0" collapsed="false">
      <c r="A618" s="3" t="s">
        <v>2719</v>
      </c>
      <c r="B618" s="3"/>
      <c r="C618" s="3" t="s">
        <v>1584</v>
      </c>
      <c r="D618" s="4" t="str">
        <f aca="false">IF(AND(EXACT(B618,C618),NOT(AND(ISBLANK(B618),ISBLANK(C618)))), "Common", "")</f>
        <v/>
      </c>
    </row>
    <row r="619" customFormat="false" ht="15.75" hidden="false" customHeight="false" outlineLevel="0" collapsed="false">
      <c r="A619" s="3" t="s">
        <v>2719</v>
      </c>
      <c r="B619" s="3" t="s">
        <v>1598</v>
      </c>
      <c r="C619" s="3" t="s">
        <v>1598</v>
      </c>
      <c r="D619" s="4" t="str">
        <f aca="false">IF(AND(EXACT(B619,C619),NOT(AND(ISBLANK(B619),ISBLANK(C619)))), "Common", "")</f>
        <v>Common</v>
      </c>
    </row>
    <row r="620" customFormat="false" ht="15.75" hidden="false" customHeight="false" outlineLevel="0" collapsed="false">
      <c r="A620" s="3" t="s">
        <v>2719</v>
      </c>
      <c r="B620" s="3" t="s">
        <v>1672</v>
      </c>
      <c r="C620" s="3" t="s">
        <v>1672</v>
      </c>
      <c r="D620" s="4" t="str">
        <f aca="false">IF(AND(EXACT(B620,C620),NOT(AND(ISBLANK(B620),ISBLANK(C620)))), "Common", "")</f>
        <v>Common</v>
      </c>
    </row>
    <row r="621" customFormat="false" ht="15.75" hidden="false" customHeight="false" outlineLevel="0" collapsed="false">
      <c r="A621" s="3" t="s">
        <v>2719</v>
      </c>
      <c r="B621" s="3"/>
      <c r="C621" s="3" t="s">
        <v>1600</v>
      </c>
      <c r="D621" s="4" t="str">
        <f aca="false">IF(AND(EXACT(B621,C621),NOT(AND(ISBLANK(B621),ISBLANK(C621)))), "Common", "")</f>
        <v/>
      </c>
    </row>
    <row r="622" customFormat="false" ht="15.75" hidden="false" customHeight="false" outlineLevel="0" collapsed="false">
      <c r="A622" s="3" t="s">
        <v>2719</v>
      </c>
      <c r="B622" s="3"/>
      <c r="C622" s="3" t="s">
        <v>1602</v>
      </c>
      <c r="D622" s="4" t="str">
        <f aca="false">IF(AND(EXACT(B622,C622),NOT(AND(ISBLANK(B622),ISBLANK(C622)))), "Common", "")</f>
        <v/>
      </c>
    </row>
    <row r="623" customFormat="false" ht="15.75" hidden="false" customHeight="false" outlineLevel="0" collapsed="false">
      <c r="A623" s="3" t="s">
        <v>2719</v>
      </c>
      <c r="B623" s="3"/>
      <c r="C623" s="3" t="s">
        <v>1604</v>
      </c>
      <c r="D623" s="4" t="str">
        <f aca="false">IF(AND(EXACT(B623,C623),NOT(AND(ISBLANK(B623),ISBLANK(C623)))), "Common", "")</f>
        <v/>
      </c>
    </row>
    <row r="624" customFormat="false" ht="15.75" hidden="false" customHeight="false" outlineLevel="0" collapsed="false">
      <c r="A624" s="3" t="s">
        <v>2719</v>
      </c>
      <c r="B624" s="3"/>
      <c r="C624" s="3" t="s">
        <v>1616</v>
      </c>
      <c r="D624" s="4" t="str">
        <f aca="false">IF(AND(EXACT(B624,C624),NOT(AND(ISBLANK(B624),ISBLANK(C624)))), "Common", "")</f>
        <v/>
      </c>
    </row>
    <row r="625" customFormat="false" ht="15.75" hidden="false" customHeight="false" outlineLevel="0" collapsed="false">
      <c r="A625" s="3" t="s">
        <v>2719</v>
      </c>
      <c r="B625" s="3"/>
      <c r="C625" s="3" t="s">
        <v>1626</v>
      </c>
      <c r="D625" s="4" t="str">
        <f aca="false">IF(AND(EXACT(B625,C625),NOT(AND(ISBLANK(B625),ISBLANK(C625)))), "Common", "")</f>
        <v/>
      </c>
    </row>
    <row r="626" customFormat="false" ht="15.75" hidden="false" customHeight="false" outlineLevel="0" collapsed="false">
      <c r="A626" s="3" t="s">
        <v>2719</v>
      </c>
      <c r="B626" s="3"/>
      <c r="C626" s="3" t="s">
        <v>1632</v>
      </c>
      <c r="D626" s="4" t="str">
        <f aca="false">IF(AND(EXACT(B626,C626),NOT(AND(ISBLANK(B626),ISBLANK(C626)))), "Common", "")</f>
        <v/>
      </c>
    </row>
    <row r="627" customFormat="false" ht="15.75" hidden="false" customHeight="false" outlineLevel="0" collapsed="false">
      <c r="A627" s="3" t="s">
        <v>2719</v>
      </c>
      <c r="B627" s="3"/>
      <c r="C627" s="3" t="s">
        <v>1634</v>
      </c>
      <c r="D627" s="4" t="str">
        <f aca="false">IF(AND(EXACT(B627,C627),NOT(AND(ISBLANK(B627),ISBLANK(C627)))), "Common", "")</f>
        <v/>
      </c>
    </row>
    <row r="628" customFormat="false" ht="15.75" hidden="false" customHeight="false" outlineLevel="0" collapsed="false">
      <c r="A628" s="3" t="s">
        <v>2719</v>
      </c>
      <c r="B628" s="3"/>
      <c r="C628" s="3" t="s">
        <v>1636</v>
      </c>
      <c r="D628" s="4" t="str">
        <f aca="false">IF(AND(EXACT(B628,C628),NOT(AND(ISBLANK(B628),ISBLANK(C628)))), "Common", "")</f>
        <v/>
      </c>
    </row>
    <row r="629" customFormat="false" ht="15.75" hidden="false" customHeight="false" outlineLevel="0" collapsed="false">
      <c r="A629" s="3" t="s">
        <v>2719</v>
      </c>
      <c r="B629" s="3" t="s">
        <v>1757</v>
      </c>
      <c r="C629" s="3"/>
      <c r="D629" s="4" t="str">
        <f aca="false">IF(AND(EXACT(B629,C629),NOT(AND(ISBLANK(B629),ISBLANK(C629)))), "Common", "")</f>
        <v/>
      </c>
    </row>
    <row r="630" customFormat="false" ht="15.75" hidden="false" customHeight="false" outlineLevel="0" collapsed="false">
      <c r="A630" s="3" t="s">
        <v>2719</v>
      </c>
      <c r="B630" s="3"/>
      <c r="C630" s="3" t="s">
        <v>1684</v>
      </c>
      <c r="D630" s="4" t="str">
        <f aca="false">IF(AND(EXACT(B630,C630),NOT(AND(ISBLANK(B630),ISBLANK(C630)))), "Common", "")</f>
        <v/>
      </c>
    </row>
    <row r="631" customFormat="false" ht="15.75" hidden="false" customHeight="false" outlineLevel="0" collapsed="false">
      <c r="A631" s="3" t="s">
        <v>2720</v>
      </c>
      <c r="B631" s="3" t="s">
        <v>2047</v>
      </c>
      <c r="C631" s="3" t="s">
        <v>1956</v>
      </c>
      <c r="D631" s="4" t="str">
        <f aca="false">IF(AND(EXACT(B631,C631),NOT(AND(ISBLANK(B631),ISBLANK(C631)))), "Common", "")</f>
        <v/>
      </c>
    </row>
    <row r="632" customFormat="false" ht="15.75" hidden="false" customHeight="false" outlineLevel="0" collapsed="false">
      <c r="A632" s="3" t="s">
        <v>2721</v>
      </c>
      <c r="B632" s="3" t="s">
        <v>2073</v>
      </c>
      <c r="C632" s="3" t="s">
        <v>2073</v>
      </c>
      <c r="D632" s="4" t="str">
        <f aca="false">IF(AND(EXACT(B632,C632),NOT(AND(ISBLANK(B632),ISBLANK(C632)))), "Common", "")</f>
        <v>Common</v>
      </c>
    </row>
    <row r="633" customFormat="false" ht="15.75" hidden="false" customHeight="false" outlineLevel="0" collapsed="false">
      <c r="A633" s="3" t="s">
        <v>2721</v>
      </c>
      <c r="B633" s="3" t="s">
        <v>560</v>
      </c>
      <c r="C633" s="3" t="s">
        <v>560</v>
      </c>
      <c r="D633" s="4" t="str">
        <f aca="false">IF(AND(EXACT(B633,C633),NOT(AND(ISBLANK(B633),ISBLANK(C633)))), "Common", "")</f>
        <v>Common</v>
      </c>
    </row>
    <row r="634" customFormat="false" ht="15.75" hidden="false" customHeight="false" outlineLevel="0" collapsed="false">
      <c r="A634" s="3" t="s">
        <v>2721</v>
      </c>
      <c r="B634" s="3" t="s">
        <v>2166</v>
      </c>
      <c r="C634" s="3"/>
      <c r="D634" s="4" t="str">
        <f aca="false">IF(AND(EXACT(B634,C634),NOT(AND(ISBLANK(B634),ISBLANK(C634)))), "Common", "")</f>
        <v/>
      </c>
    </row>
    <row r="635" customFormat="false" ht="15.75" hidden="false" customHeight="false" outlineLevel="0" collapsed="false">
      <c r="A635" s="3" t="s">
        <v>2721</v>
      </c>
      <c r="B635" s="3"/>
      <c r="C635" s="3" t="s">
        <v>2059</v>
      </c>
      <c r="D635" s="4" t="str">
        <f aca="false">IF(AND(EXACT(B635,C635),NOT(AND(ISBLANK(B635),ISBLANK(C635)))), "Common", "")</f>
        <v/>
      </c>
    </row>
    <row r="636" customFormat="false" ht="15.75" hidden="false" customHeight="false" outlineLevel="0" collapsed="false">
      <c r="A636" s="3" t="s">
        <v>2721</v>
      </c>
      <c r="B636" s="3"/>
      <c r="C636" s="3" t="s">
        <v>2063</v>
      </c>
      <c r="D636" s="4" t="str">
        <f aca="false">IF(AND(EXACT(B636,C636),NOT(AND(ISBLANK(B636),ISBLANK(C636)))), "Common", "")</f>
        <v/>
      </c>
    </row>
    <row r="637" customFormat="false" ht="15.75" hidden="false" customHeight="false" outlineLevel="0" collapsed="false">
      <c r="A637" s="3" t="s">
        <v>2721</v>
      </c>
      <c r="B637" s="3"/>
      <c r="C637" s="3" t="s">
        <v>2075</v>
      </c>
      <c r="D637" s="4" t="str">
        <f aca="false">IF(AND(EXACT(B637,C637),NOT(AND(ISBLANK(B637),ISBLANK(C637)))), "Common", "")</f>
        <v/>
      </c>
    </row>
    <row r="638" customFormat="false" ht="15.75" hidden="false" customHeight="false" outlineLevel="0" collapsed="false">
      <c r="A638" s="3" t="s">
        <v>2721</v>
      </c>
      <c r="B638" s="3"/>
      <c r="C638" s="3" t="s">
        <v>2080</v>
      </c>
      <c r="D638" s="4" t="str">
        <f aca="false">IF(AND(EXACT(B638,C638),NOT(AND(ISBLANK(B638),ISBLANK(C638)))), "Common", "")</f>
        <v/>
      </c>
    </row>
    <row r="639" customFormat="false" ht="15.75" hidden="false" customHeight="false" outlineLevel="0" collapsed="false">
      <c r="A639" s="3" t="s">
        <v>2721</v>
      </c>
      <c r="B639" s="3"/>
      <c r="C639" s="3" t="s">
        <v>2083</v>
      </c>
      <c r="D639" s="4" t="str">
        <f aca="false">IF(AND(EXACT(B639,C639),NOT(AND(ISBLANK(B639),ISBLANK(C639)))), "Common", "")</f>
        <v/>
      </c>
    </row>
    <row r="640" customFormat="false" ht="15.75" hidden="false" customHeight="false" outlineLevel="0" collapsed="false">
      <c r="A640" s="3" t="s">
        <v>2721</v>
      </c>
      <c r="B640" s="3"/>
      <c r="C640" s="3" t="s">
        <v>2091</v>
      </c>
      <c r="D640" s="4" t="str">
        <f aca="false">IF(AND(EXACT(B640,C640),NOT(AND(ISBLANK(B640),ISBLANK(C640)))), "Common", "")</f>
        <v/>
      </c>
    </row>
    <row r="641" customFormat="false" ht="15.75" hidden="false" customHeight="false" outlineLevel="0" collapsed="false">
      <c r="A641" s="3" t="s">
        <v>2721</v>
      </c>
      <c r="B641" s="3"/>
      <c r="C641" s="3" t="s">
        <v>2093</v>
      </c>
      <c r="D641" s="4" t="str">
        <f aca="false">IF(AND(EXACT(B641,C641),NOT(AND(ISBLANK(B641),ISBLANK(C641)))), "Common", "")</f>
        <v/>
      </c>
    </row>
    <row r="642" customFormat="false" ht="15.75" hidden="false" customHeight="false" outlineLevel="0" collapsed="false">
      <c r="A642" s="3" t="s">
        <v>2721</v>
      </c>
      <c r="B642" s="3"/>
      <c r="C642" s="3" t="s">
        <v>2094</v>
      </c>
      <c r="D642" s="4" t="str">
        <f aca="false">IF(AND(EXACT(B642,C642),NOT(AND(ISBLANK(B642),ISBLANK(C642)))), "Common", "")</f>
        <v/>
      </c>
    </row>
    <row r="643" customFormat="false" ht="15.75" hidden="false" customHeight="false" outlineLevel="0" collapsed="false">
      <c r="A643" s="3" t="s">
        <v>2720</v>
      </c>
      <c r="B643" s="3" t="s">
        <v>1870</v>
      </c>
      <c r="C643" s="3" t="s">
        <v>1870</v>
      </c>
      <c r="D643" s="4" t="str">
        <f aca="false">IF(AND(EXACT(B643,C643),NOT(AND(ISBLANK(B643),ISBLANK(C643)))), "Common", "")</f>
        <v>Common</v>
      </c>
    </row>
    <row r="644" customFormat="false" ht="15.75" hidden="false" customHeight="false" outlineLevel="0" collapsed="false">
      <c r="A644" s="3" t="s">
        <v>2720</v>
      </c>
      <c r="B644" s="3" t="s">
        <v>1830</v>
      </c>
      <c r="C644" s="3"/>
      <c r="D644" s="4" t="str">
        <f aca="false">IF(AND(EXACT(B644,C644),NOT(AND(ISBLANK(B644),ISBLANK(C644)))), "Common", "")</f>
        <v/>
      </c>
    </row>
    <row r="645" customFormat="false" ht="15.75" hidden="false" customHeight="false" outlineLevel="0" collapsed="false">
      <c r="A645" s="3" t="s">
        <v>2720</v>
      </c>
      <c r="B645" s="3"/>
      <c r="C645" s="3" t="s">
        <v>1875</v>
      </c>
      <c r="D645" s="4" t="str">
        <f aca="false">IF(AND(EXACT(B645,C645),NOT(AND(ISBLANK(B645),ISBLANK(C645)))), "Common", "")</f>
        <v/>
      </c>
    </row>
    <row r="646" customFormat="false" ht="15.75" hidden="false" customHeight="false" outlineLevel="0" collapsed="false">
      <c r="A646" s="3" t="s">
        <v>2720</v>
      </c>
      <c r="B646" s="3" t="s">
        <v>1839</v>
      </c>
      <c r="C646" s="3"/>
      <c r="D646" s="4" t="str">
        <f aca="false">IF(AND(EXACT(B646,C646),NOT(AND(ISBLANK(B646),ISBLANK(C646)))), "Common", "")</f>
        <v/>
      </c>
    </row>
    <row r="647" customFormat="false" ht="15.75" hidden="false" customHeight="false" outlineLevel="0" collapsed="false">
      <c r="A647" s="3" t="s">
        <v>2720</v>
      </c>
      <c r="D647" s="4" t="str">
        <f aca="false">IF(AND(EXACT(B647,C529),NOT(AND(ISBLANK(B647),ISBLANK(C529)))), "Common", "")</f>
        <v/>
      </c>
    </row>
    <row r="648" customFormat="false" ht="15.75" hidden="false" customHeight="false" outlineLevel="0" collapsed="false">
      <c r="A648" s="3" t="s">
        <v>2720</v>
      </c>
      <c r="B648" s="3"/>
      <c r="C648" s="3" t="s">
        <v>2127</v>
      </c>
      <c r="D648" s="4" t="str">
        <f aca="false">IF(AND(EXACT(B648,C648),NOT(AND(ISBLANK(B648),ISBLANK(C648)))), "Common", "")</f>
        <v/>
      </c>
    </row>
    <row r="649" customFormat="false" ht="15.75" hidden="false" customHeight="false" outlineLevel="0" collapsed="false">
      <c r="A649" s="3" t="s">
        <v>2720</v>
      </c>
      <c r="B649" s="3"/>
      <c r="C649" s="3" t="s">
        <v>2025</v>
      </c>
      <c r="D649" s="4" t="str">
        <f aca="false">IF(AND(EXACT(B649,C649),NOT(AND(ISBLANK(B649),ISBLANK(C649)))), "Common", "")</f>
        <v/>
      </c>
    </row>
    <row r="650" customFormat="false" ht="15.75" hidden="false" customHeight="false" outlineLevel="0" collapsed="false">
      <c r="A650" s="3" t="s">
        <v>2720</v>
      </c>
      <c r="C650" s="3" t="s">
        <v>2614</v>
      </c>
      <c r="D650" s="4" t="str">
        <f aca="false">IF(AND(EXACT(B650,C650),NOT(AND(ISBLANK(B650),ISBLANK(C650)))), "Common", "")</f>
        <v/>
      </c>
    </row>
    <row r="651" customFormat="false" ht="15.75" hidden="false" customHeight="false" outlineLevel="0" collapsed="false">
      <c r="A651" s="3" t="s">
        <v>2720</v>
      </c>
      <c r="C651" s="3" t="s">
        <v>2027</v>
      </c>
      <c r="D651" s="4" t="str">
        <f aca="false">IF(AND(EXACT(B651,C651),NOT(AND(ISBLANK(B651),ISBLANK(C651)))), "Common", "")</f>
        <v/>
      </c>
    </row>
    <row r="652" customFormat="false" ht="15.75" hidden="false" customHeight="false" outlineLevel="0" collapsed="false">
      <c r="A652" s="3" t="s">
        <v>2720</v>
      </c>
      <c r="C652" s="3" t="s">
        <v>2023</v>
      </c>
      <c r="D652" s="4" t="str">
        <f aca="false">IF(AND(EXACT(B652,C652),NOT(AND(ISBLANK(B652),ISBLANK(C652)))), "Common", "")</f>
        <v/>
      </c>
    </row>
    <row r="653" customFormat="false" ht="15.75" hidden="false" customHeight="false" outlineLevel="0" collapsed="false">
      <c r="A653" s="3" t="s">
        <v>2720</v>
      </c>
      <c r="B653" s="3"/>
      <c r="C653" s="3" t="s">
        <v>1705</v>
      </c>
      <c r="D653" s="4" t="str">
        <f aca="false">IF(AND(EXACT(B653,C653),NOT(AND(ISBLANK(B653),ISBLANK(C653)))), "Common", "")</f>
        <v/>
      </c>
    </row>
    <row r="654" customFormat="false" ht="15.75" hidden="false" customHeight="false" outlineLevel="0" collapsed="false">
      <c r="A654" s="3" t="s">
        <v>2720</v>
      </c>
      <c r="B654" s="3" t="s">
        <v>2193</v>
      </c>
      <c r="D654" s="4" t="str">
        <f aca="false">IF(AND(EXACT(B654,C654),NOT(AND(ISBLANK(B654),ISBLANK(C654)))), "Common", "")</f>
        <v/>
      </c>
    </row>
    <row r="655" customFormat="false" ht="15.75" hidden="false" customHeight="false" outlineLevel="0" collapsed="false">
      <c r="A655" s="3" t="s">
        <v>2720</v>
      </c>
      <c r="B655" s="3"/>
      <c r="C655" s="3" t="s">
        <v>1733</v>
      </c>
      <c r="D655" s="4" t="str">
        <f aca="false">IF(AND(EXACT(B655,C655),NOT(AND(ISBLANK(B655),ISBLANK(C655)))), "Common", "")</f>
        <v/>
      </c>
    </row>
    <row r="656" customFormat="false" ht="15.75" hidden="false" customHeight="false" outlineLevel="0" collapsed="false">
      <c r="A656" s="3" t="s">
        <v>2721</v>
      </c>
      <c r="B656" s="3" t="s">
        <v>1932</v>
      </c>
      <c r="D656" s="4" t="str">
        <f aca="false">IF(AND(EXACT(B656,C656),NOT(AND(ISBLANK(B656),ISBLANK(C656)))), "Common", "")</f>
        <v/>
      </c>
    </row>
    <row r="657" customFormat="false" ht="15.75" hidden="false" customHeight="false" outlineLevel="0" collapsed="false">
      <c r="A657" s="3" t="s">
        <v>2722</v>
      </c>
      <c r="B657" s="3" t="s">
        <v>1748</v>
      </c>
      <c r="D657" s="4" t="str">
        <f aca="false">IF(AND(EXACT(B657,C657),NOT(AND(ISBLANK(B657),ISBLANK(C657)))), "Common", "")</f>
        <v/>
      </c>
    </row>
    <row r="658" customFormat="false" ht="15.75" hidden="false" customHeight="false" outlineLevel="0" collapsed="false">
      <c r="A658" s="3" t="s">
        <v>2723</v>
      </c>
      <c r="B658" s="3" t="s">
        <v>1592</v>
      </c>
      <c r="C658" s="3" t="s">
        <v>1592</v>
      </c>
      <c r="D658" s="4" t="str">
        <f aca="false">IF(AND(EXACT(B658,C658),NOT(AND(ISBLANK(B658),ISBLANK(C658)))), "Common", "")</f>
        <v>Common</v>
      </c>
    </row>
    <row r="659" customFormat="false" ht="15.75" hidden="false" customHeight="false" outlineLevel="0" collapsed="false">
      <c r="A659" s="3" t="s">
        <v>2723</v>
      </c>
      <c r="B659" s="3" t="s">
        <v>1610</v>
      </c>
      <c r="C659" s="3" t="s">
        <v>1610</v>
      </c>
      <c r="D659" s="4" t="str">
        <f aca="false">IF(AND(EXACT(B659,C659),NOT(AND(ISBLANK(B659),ISBLANK(C659)))), "Common", "")</f>
        <v>Common</v>
      </c>
    </row>
    <row r="660" customFormat="false" ht="15.75" hidden="false" customHeight="false" outlineLevel="0" collapsed="false">
      <c r="A660" s="3" t="s">
        <v>2723</v>
      </c>
      <c r="B660" s="3" t="s">
        <v>1622</v>
      </c>
      <c r="C660" s="3" t="s">
        <v>1622</v>
      </c>
      <c r="D660" s="4" t="str">
        <f aca="false">IF(AND(EXACT(B660,C660),NOT(AND(ISBLANK(B660),ISBLANK(C660)))), "Common", "")</f>
        <v>Common</v>
      </c>
    </row>
    <row r="661" customFormat="false" ht="15.75" hidden="false" customHeight="false" outlineLevel="0" collapsed="false">
      <c r="A661" s="3" t="s">
        <v>2723</v>
      </c>
      <c r="B661" s="3" t="s">
        <v>1642</v>
      </c>
      <c r="C661" s="3" t="s">
        <v>1642</v>
      </c>
      <c r="D661" s="4" t="str">
        <f aca="false">IF(AND(EXACT(B661,C661),NOT(AND(ISBLANK(B661),ISBLANK(C661)))), "Common", "")</f>
        <v>Common</v>
      </c>
    </row>
    <row r="662" customFormat="false" ht="15.75" hidden="false" customHeight="false" outlineLevel="0" collapsed="false">
      <c r="A662" s="3" t="s">
        <v>2723</v>
      </c>
      <c r="B662" s="3"/>
      <c r="C662" s="3" t="s">
        <v>1556</v>
      </c>
      <c r="D662" s="4" t="str">
        <f aca="false">IF(AND(EXACT(B662,C662),NOT(AND(ISBLANK(B662),ISBLANK(C662)))), "Common", "")</f>
        <v/>
      </c>
    </row>
    <row r="663" customFormat="false" ht="15.75" hidden="false" customHeight="false" outlineLevel="0" collapsed="false">
      <c r="A663" s="3" t="s">
        <v>2723</v>
      </c>
      <c r="C663" s="3" t="s">
        <v>1558</v>
      </c>
      <c r="D663" s="4" t="str">
        <f aca="false">IF(AND(EXACT(B663,C663),NOT(AND(ISBLANK(B663),ISBLANK(C663)))), "Common", "")</f>
        <v/>
      </c>
    </row>
    <row r="664" customFormat="false" ht="15.75" hidden="false" customHeight="false" outlineLevel="0" collapsed="false">
      <c r="A664" s="3" t="s">
        <v>2723</v>
      </c>
      <c r="B664" s="3"/>
      <c r="C664" s="3" t="s">
        <v>1560</v>
      </c>
      <c r="D664" s="4" t="str">
        <f aca="false">IF(AND(EXACT(B664,C664),NOT(AND(ISBLANK(B664),ISBLANK(C664)))), "Common", "")</f>
        <v/>
      </c>
    </row>
    <row r="665" customFormat="false" ht="15.75" hidden="false" customHeight="false" outlineLevel="0" collapsed="false">
      <c r="A665" s="3" t="s">
        <v>2723</v>
      </c>
      <c r="B665" s="3"/>
      <c r="C665" s="3" t="s">
        <v>1566</v>
      </c>
      <c r="D665" s="4" t="str">
        <f aca="false">IF(AND(EXACT(B665,C665),NOT(AND(ISBLANK(B665),ISBLANK(C665)))), "Common", "")</f>
        <v/>
      </c>
    </row>
    <row r="666" customFormat="false" ht="15.75" hidden="false" customHeight="false" outlineLevel="0" collapsed="false">
      <c r="A666" s="3" t="s">
        <v>2723</v>
      </c>
      <c r="B666" s="3"/>
      <c r="C666" s="3" t="s">
        <v>1568</v>
      </c>
      <c r="D666" s="4" t="str">
        <f aca="false">IF(AND(EXACT(B666,C666),NOT(AND(ISBLANK(B666),ISBLANK(C666)))), "Common", "")</f>
        <v/>
      </c>
    </row>
    <row r="667" customFormat="false" ht="15.75" hidden="false" customHeight="false" outlineLevel="0" collapsed="false">
      <c r="A667" s="3" t="s">
        <v>2723</v>
      </c>
      <c r="B667" s="3"/>
      <c r="C667" s="3" t="s">
        <v>1590</v>
      </c>
      <c r="D667" s="4" t="str">
        <f aca="false">IF(AND(EXACT(B667,C667),NOT(AND(ISBLANK(B667),ISBLANK(C667)))), "Common", "")</f>
        <v/>
      </c>
    </row>
    <row r="668" customFormat="false" ht="15.75" hidden="false" customHeight="false" outlineLevel="0" collapsed="false">
      <c r="A668" s="3" t="s">
        <v>2723</v>
      </c>
      <c r="B668" s="3"/>
      <c r="C668" s="3" t="s">
        <v>1594</v>
      </c>
      <c r="D668" s="4" t="str">
        <f aca="false">IF(AND(EXACT(B668,C668),NOT(AND(ISBLANK(B668),ISBLANK(C668)))), "Common", "")</f>
        <v/>
      </c>
    </row>
    <row r="669" customFormat="false" ht="15.75" hidden="false" customHeight="false" outlineLevel="0" collapsed="false">
      <c r="A669" s="3" t="s">
        <v>2723</v>
      </c>
      <c r="B669" s="3"/>
      <c r="C669" s="3" t="s">
        <v>1660</v>
      </c>
      <c r="D669" s="4" t="str">
        <f aca="false">IF(AND(EXACT(B669,C669),NOT(AND(ISBLANK(B669),ISBLANK(C669)))), "Common", "")</f>
        <v/>
      </c>
    </row>
    <row r="670" customFormat="false" ht="15.75" hidden="false" customHeight="false" outlineLevel="0" collapsed="false">
      <c r="A670" s="3" t="s">
        <v>2723</v>
      </c>
      <c r="B670" s="3" t="s">
        <v>1731</v>
      </c>
      <c r="C670" s="3"/>
      <c r="D670" s="4" t="str">
        <f aca="false">IF(AND(EXACT(B670,C670),NOT(AND(ISBLANK(B670),ISBLANK(C670)))), "Common", "")</f>
        <v/>
      </c>
    </row>
    <row r="671" customFormat="false" ht="15.75" hidden="false" customHeight="false" outlineLevel="0" collapsed="false">
      <c r="A671" s="3" t="s">
        <v>2724</v>
      </c>
      <c r="B671" s="3" t="s">
        <v>2045</v>
      </c>
      <c r="C671" s="3"/>
      <c r="D671" s="4" t="str">
        <f aca="false">IF(AND(EXACT(B671,C671),NOT(AND(ISBLANK(B671),ISBLANK(C671)))), "Common", "")</f>
        <v/>
      </c>
    </row>
    <row r="672" customFormat="false" ht="15.75" hidden="false" customHeight="false" outlineLevel="0" collapsed="false">
      <c r="A672" s="3" t="s">
        <v>2725</v>
      </c>
      <c r="B672" s="3" t="s">
        <v>2057</v>
      </c>
      <c r="C672" s="3" t="s">
        <v>2057</v>
      </c>
      <c r="D672" s="4" t="str">
        <f aca="false">IF(AND(EXACT(B672,C672),NOT(AND(ISBLANK(B672),ISBLANK(C672)))), "Common", "")</f>
        <v>Common</v>
      </c>
    </row>
    <row r="673" customFormat="false" ht="15.75" hidden="false" customHeight="false" outlineLevel="0" collapsed="false">
      <c r="A673" s="3" t="s">
        <v>2725</v>
      </c>
      <c r="B673" s="3" t="s">
        <v>2069</v>
      </c>
      <c r="C673" s="3" t="s">
        <v>2069</v>
      </c>
      <c r="D673" s="4" t="str">
        <f aca="false">IF(AND(EXACT(B673,C673),NOT(AND(ISBLANK(B673),ISBLANK(C673)))), "Common", "")</f>
        <v>Common</v>
      </c>
    </row>
    <row r="674" customFormat="false" ht="15.75" hidden="false" customHeight="false" outlineLevel="0" collapsed="false">
      <c r="A674" s="3" t="s">
        <v>2725</v>
      </c>
      <c r="B674" s="3" t="s">
        <v>2077</v>
      </c>
      <c r="C674" s="3" t="s">
        <v>2077</v>
      </c>
      <c r="D674" s="4" t="str">
        <f aca="false">IF(AND(EXACT(B674,C674),NOT(AND(ISBLANK(B674),ISBLANK(C674)))), "Common", "")</f>
        <v>Common</v>
      </c>
    </row>
    <row r="675" customFormat="false" ht="15.75" hidden="false" customHeight="false" outlineLevel="0" collapsed="false">
      <c r="A675" s="3" t="s">
        <v>2725</v>
      </c>
      <c r="B675" s="3" t="s">
        <v>2086</v>
      </c>
      <c r="C675" s="3" t="s">
        <v>2086</v>
      </c>
      <c r="D675" s="4" t="str">
        <f aca="false">IF(AND(EXACT(B675,C675),NOT(AND(ISBLANK(B675),ISBLANK(C675)))), "Common", "")</f>
        <v>Common</v>
      </c>
    </row>
    <row r="676" customFormat="false" ht="15.75" hidden="false" customHeight="false" outlineLevel="0" collapsed="false">
      <c r="A676" s="3" t="s">
        <v>2725</v>
      </c>
      <c r="B676" s="3" t="s">
        <v>2099</v>
      </c>
      <c r="C676" s="3" t="s">
        <v>2099</v>
      </c>
      <c r="D676" s="4" t="str">
        <f aca="false">IF(AND(EXACT(B676,C676),NOT(AND(ISBLANK(B676),ISBLANK(C676)))), "Common", "")</f>
        <v>Common</v>
      </c>
    </row>
    <row r="677" customFormat="false" ht="15.75" hidden="false" customHeight="false" outlineLevel="0" collapsed="false">
      <c r="A677" s="3" t="s">
        <v>2725</v>
      </c>
      <c r="B677" s="3" t="s">
        <v>2142</v>
      </c>
      <c r="C677" s="3"/>
      <c r="D677" s="4" t="str">
        <f aca="false">IF(AND(EXACT(B677,C677),NOT(AND(ISBLANK(B677),ISBLANK(C677)))), "Common", "")</f>
        <v/>
      </c>
    </row>
    <row r="678" customFormat="false" ht="15.75" hidden="false" customHeight="false" outlineLevel="0" collapsed="false">
      <c r="A678" s="3" t="s">
        <v>2725</v>
      </c>
      <c r="B678" s="3" t="s">
        <v>2168</v>
      </c>
      <c r="C678" s="3"/>
      <c r="D678" s="4" t="str">
        <f aca="false">IF(AND(EXACT(B678,C678),NOT(AND(ISBLANK(B678),ISBLANK(C678)))), "Common", "")</f>
        <v/>
      </c>
    </row>
    <row r="679" customFormat="false" ht="15.75" hidden="false" customHeight="false" outlineLevel="0" collapsed="false">
      <c r="A679" s="3" t="s">
        <v>2725</v>
      </c>
      <c r="B679" s="3"/>
      <c r="C679" s="3" t="s">
        <v>2051</v>
      </c>
      <c r="D679" s="4" t="str">
        <f aca="false">IF(AND(EXACT(B679,C679),NOT(AND(ISBLANK(B679),ISBLANK(C679)))), "Common", "")</f>
        <v/>
      </c>
    </row>
    <row r="680" customFormat="false" ht="15.75" hidden="false" customHeight="false" outlineLevel="0" collapsed="false">
      <c r="A680" s="3" t="s">
        <v>2725</v>
      </c>
      <c r="B680" s="3"/>
      <c r="C680" s="3" t="s">
        <v>2052</v>
      </c>
      <c r="D680" s="4" t="str">
        <f aca="false">IF(AND(EXACT(B680,C680),NOT(AND(ISBLANK(B680),ISBLANK(C680)))), "Common", "")</f>
        <v/>
      </c>
    </row>
    <row r="681" customFormat="false" ht="15.75" hidden="false" customHeight="false" outlineLevel="0" collapsed="false">
      <c r="A681" s="3" t="s">
        <v>2725</v>
      </c>
      <c r="C681" s="3" t="s">
        <v>2056</v>
      </c>
      <c r="D681" s="4" t="str">
        <f aca="false">IF(AND(EXACT(B681,C681),NOT(AND(ISBLANK(B681),ISBLANK(C681)))), "Common", "")</f>
        <v/>
      </c>
    </row>
    <row r="682" customFormat="false" ht="15.75" hidden="false" customHeight="false" outlineLevel="0" collapsed="false">
      <c r="A682" s="3" t="s">
        <v>2725</v>
      </c>
      <c r="C682" s="3" t="s">
        <v>2065</v>
      </c>
      <c r="D682" s="4" t="str">
        <f aca="false">IF(AND(EXACT(B682,C682),NOT(AND(ISBLANK(B682),ISBLANK(C682)))), "Common", "")</f>
        <v/>
      </c>
    </row>
    <row r="683" customFormat="false" ht="15.75" hidden="false" customHeight="false" outlineLevel="0" collapsed="false">
      <c r="A683" s="3" t="s">
        <v>2725</v>
      </c>
      <c r="B683" s="3"/>
      <c r="C683" s="3" t="s">
        <v>2067</v>
      </c>
      <c r="D683" s="4" t="str">
        <f aca="false">IF(AND(EXACT(B683,C683),NOT(AND(ISBLANK(B683),ISBLANK(C683)))), "Common", "")</f>
        <v/>
      </c>
    </row>
    <row r="684" customFormat="false" ht="15.75" hidden="false" customHeight="false" outlineLevel="0" collapsed="false">
      <c r="A684" s="3" t="s">
        <v>2725</v>
      </c>
      <c r="B684" s="3"/>
      <c r="C684" s="3" t="s">
        <v>2071</v>
      </c>
      <c r="D684" s="4" t="str">
        <f aca="false">IF(AND(EXACT(B684,C684),NOT(AND(ISBLANK(B684),ISBLANK(C684)))), "Common", "")</f>
        <v/>
      </c>
    </row>
    <row r="685" customFormat="false" ht="15.75" hidden="false" customHeight="false" outlineLevel="0" collapsed="false">
      <c r="A685" s="3" t="s">
        <v>2725</v>
      </c>
      <c r="C685" s="3" t="s">
        <v>2106</v>
      </c>
      <c r="D685" s="4" t="str">
        <f aca="false">IF(AND(EXACT(B685,C685),NOT(AND(ISBLANK(B685),ISBLANK(C685)))), "Common", "")</f>
        <v/>
      </c>
    </row>
    <row r="686" customFormat="false" ht="15.75" hidden="false" customHeight="false" outlineLevel="0" collapsed="false">
      <c r="A686" s="3" t="s">
        <v>2724</v>
      </c>
      <c r="B686" s="3"/>
      <c r="C686" s="3" t="s">
        <v>2617</v>
      </c>
      <c r="D686" s="4" t="str">
        <f aca="false">IF(AND(EXACT(B686,C686),NOT(AND(ISBLANK(B686),ISBLANK(C686)))), "Common", "")</f>
        <v/>
      </c>
    </row>
    <row r="687" customFormat="false" ht="15.75" hidden="false" customHeight="false" outlineLevel="0" collapsed="false">
      <c r="A687" s="3" t="s">
        <v>2726</v>
      </c>
      <c r="B687" s="3" t="s">
        <v>1618</v>
      </c>
      <c r="C687" s="3" t="s">
        <v>1618</v>
      </c>
      <c r="D687" s="4" t="str">
        <f aca="false">IF(AND(EXACT(B687,C687),NOT(AND(ISBLANK(B687),ISBLANK(C687)))), "Common", "")</f>
        <v>Common</v>
      </c>
    </row>
    <row r="688" customFormat="false" ht="15.75" hidden="false" customHeight="false" outlineLevel="0" collapsed="false">
      <c r="A688" s="3" t="s">
        <v>2726</v>
      </c>
      <c r="B688" s="3" t="s">
        <v>1624</v>
      </c>
      <c r="C688" s="3" t="s">
        <v>1624</v>
      </c>
      <c r="D688" s="4" t="str">
        <f aca="false">IF(AND(EXACT(B688,C688),NOT(AND(ISBLANK(B688),ISBLANK(C688)))), "Common", "")</f>
        <v>Common</v>
      </c>
    </row>
    <row r="689" customFormat="false" ht="15.75" hidden="false" customHeight="false" outlineLevel="0" collapsed="false">
      <c r="A689" s="3" t="s">
        <v>2726</v>
      </c>
      <c r="B689" s="3" t="s">
        <v>1606</v>
      </c>
      <c r="C689" s="3" t="s">
        <v>1606</v>
      </c>
      <c r="D689" s="4" t="str">
        <f aca="false">IF(AND(EXACT(B689,C689),NOT(AND(ISBLANK(B689),ISBLANK(C689)))), "Common", "")</f>
        <v>Common</v>
      </c>
    </row>
    <row r="690" customFormat="false" ht="15.75" hidden="false" customHeight="false" outlineLevel="0" collapsed="false">
      <c r="A690" s="3" t="s">
        <v>2726</v>
      </c>
      <c r="C690" s="3" t="s">
        <v>1608</v>
      </c>
      <c r="D690" s="4" t="str">
        <f aca="false">IF(AND(EXACT(B690,C690),NOT(AND(ISBLANK(B690),ISBLANK(C690)))), "Common", "")</f>
        <v/>
      </c>
    </row>
    <row r="691" customFormat="false" ht="15.75" hidden="false" customHeight="false" outlineLevel="0" collapsed="false">
      <c r="A691" s="3" t="s">
        <v>2726</v>
      </c>
      <c r="C691" s="3" t="s">
        <v>1638</v>
      </c>
      <c r="D691" s="4" t="str">
        <f aca="false">IF(AND(EXACT(B691,C691),NOT(AND(ISBLANK(B691),ISBLANK(C691)))), "Common", "")</f>
        <v/>
      </c>
    </row>
    <row r="692" customFormat="false" ht="15.75" hidden="false" customHeight="false" outlineLevel="0" collapsed="false">
      <c r="A692" s="3" t="s">
        <v>2726</v>
      </c>
      <c r="C692" s="3" t="s">
        <v>1640</v>
      </c>
      <c r="D692" s="4" t="str">
        <f aca="false">IF(AND(EXACT(B692,C692),NOT(AND(ISBLANK(B692),ISBLANK(C692)))), "Common", "")</f>
        <v/>
      </c>
    </row>
    <row r="693" customFormat="false" ht="15.75" hidden="false" customHeight="false" outlineLevel="0" collapsed="false">
      <c r="A693" s="3" t="s">
        <v>2726</v>
      </c>
      <c r="C693" s="3" t="s">
        <v>1554</v>
      </c>
      <c r="D693" s="4" t="str">
        <f aca="false">IF(AND(EXACT(B693,C693),NOT(AND(ISBLANK(B693),ISBLANK(C693)))), "Common", "")</f>
        <v/>
      </c>
    </row>
    <row r="694" customFormat="false" ht="15.75" hidden="false" customHeight="false" outlineLevel="0" collapsed="false">
      <c r="A694" s="3" t="s">
        <v>2727</v>
      </c>
      <c r="B694" s="3" t="s">
        <v>1832</v>
      </c>
      <c r="D694" s="4" t="str">
        <f aca="false">IF(AND(EXACT(B694,C694),NOT(AND(ISBLANK(B694),ISBLANK(C694)))), "Common", "")</f>
        <v/>
      </c>
    </row>
    <row r="695" customFormat="false" ht="15.75" hidden="false" customHeight="false" outlineLevel="0" collapsed="false">
      <c r="A695" s="3" t="s">
        <v>2727</v>
      </c>
      <c r="C695" s="3" t="s">
        <v>2625</v>
      </c>
      <c r="D695" s="4" t="str">
        <f aca="false">IF(AND(EXACT(B695,C695),NOT(AND(ISBLANK(B695),ISBLANK(C695)))), "Common", "")</f>
        <v/>
      </c>
    </row>
    <row r="696" customFormat="false" ht="15.75" hidden="false" customHeight="false" outlineLevel="0" collapsed="false">
      <c r="A696" s="3" t="s">
        <v>2728</v>
      </c>
      <c r="B696" s="3" t="s">
        <v>2525</v>
      </c>
      <c r="D696" s="4" t="str">
        <f aca="false">IF(AND(EXACT(B696,C696),NOT(AND(ISBLANK(B696),ISBLANK(C696)))), "Common", "")</f>
        <v/>
      </c>
    </row>
    <row r="697" customFormat="false" ht="15.75" hidden="false" customHeight="false" outlineLevel="0" collapsed="false">
      <c r="A697" s="3" t="s">
        <v>2727</v>
      </c>
      <c r="C697" s="3" t="s">
        <v>2125</v>
      </c>
      <c r="D697" s="4" t="str">
        <f aca="false">IF(AND(EXACT(B697,C697),NOT(AND(ISBLANK(B697),ISBLANK(C697)))), "Common", "")</f>
        <v/>
      </c>
    </row>
    <row r="698" customFormat="false" ht="15.75" hidden="false" customHeight="false" outlineLevel="0" collapsed="false">
      <c r="A698" s="3" t="s">
        <v>2727</v>
      </c>
      <c r="B698" s="3" t="s">
        <v>2043</v>
      </c>
      <c r="D698" s="4" t="str">
        <f aca="false">IF(AND(EXACT(B698,C698),NOT(AND(ISBLANK(B698),ISBLANK(C698)))), "Common", "")</f>
        <v/>
      </c>
    </row>
    <row r="699" customFormat="false" ht="15.75" hidden="false" customHeight="false" outlineLevel="0" collapsed="false">
      <c r="A699" s="3" t="s">
        <v>2727</v>
      </c>
      <c r="C699" s="3" t="s">
        <v>1955</v>
      </c>
      <c r="D699" s="4" t="str">
        <f aca="false">IF(AND(EXACT(B699,C699),NOT(AND(ISBLANK(B699),ISBLANK(C699)))), "Common", "")</f>
        <v/>
      </c>
    </row>
    <row r="700" customFormat="false" ht="15.75" hidden="false" customHeight="false" outlineLevel="0" collapsed="false">
      <c r="A700" s="3" t="s">
        <v>2727</v>
      </c>
      <c r="B700" s="3"/>
      <c r="C700" s="3" t="s">
        <v>2044</v>
      </c>
    </row>
    <row r="701" customFormat="false" ht="15.75" hidden="false" customHeight="false" outlineLevel="0" collapsed="false">
      <c r="A701" s="3" t="s">
        <v>2728</v>
      </c>
      <c r="B701" s="3" t="s">
        <v>2082</v>
      </c>
      <c r="C701" s="3" t="s">
        <v>2082</v>
      </c>
      <c r="D701" s="4" t="str">
        <f aca="false">IF(AND(EXACT(B701,C701),NOT(AND(ISBLANK(B701),ISBLANK(C701)))), "Common", "")</f>
        <v>Common</v>
      </c>
    </row>
    <row r="702" customFormat="false" ht="15.75" hidden="false" customHeight="false" outlineLevel="0" collapsed="false">
      <c r="A702" s="3" t="s">
        <v>2728</v>
      </c>
      <c r="B702" s="3" t="s">
        <v>2156</v>
      </c>
      <c r="D702" s="4" t="str">
        <f aca="false">IF(AND(EXACT(B702,C702),NOT(AND(ISBLANK(B702),ISBLANK(C702)))), "Common", "")</f>
        <v/>
      </c>
    </row>
    <row r="703" customFormat="false" ht="15.75" hidden="false" customHeight="false" outlineLevel="0" collapsed="false">
      <c r="A703" s="3" t="s">
        <v>2728</v>
      </c>
      <c r="B703" s="3"/>
      <c r="C703" s="3" t="s">
        <v>2088</v>
      </c>
      <c r="D703" s="4" t="str">
        <f aca="false">IF(AND(EXACT(B703,C703),NOT(AND(ISBLANK(B703),ISBLANK(C703)))), "Common", "")</f>
        <v/>
      </c>
    </row>
    <row r="704" customFormat="false" ht="15.75" hidden="false" customHeight="false" outlineLevel="0" collapsed="false">
      <c r="A704" s="3" t="s">
        <v>2728</v>
      </c>
      <c r="B704" s="3"/>
      <c r="C704" s="3" t="s">
        <v>2096</v>
      </c>
      <c r="D704" s="4" t="str">
        <f aca="false">IF(AND(EXACT(B704,C704),NOT(AND(ISBLANK(B704),ISBLANK(C704)))), "Common", "")</f>
        <v/>
      </c>
    </row>
    <row r="705" customFormat="false" ht="15.75" hidden="false" customHeight="false" outlineLevel="0" collapsed="false">
      <c r="A705" s="3" t="s">
        <v>2729</v>
      </c>
      <c r="B705" s="3"/>
      <c r="C705" s="3" t="s">
        <v>1628</v>
      </c>
      <c r="D705" s="4" t="str">
        <f aca="false">IF(AND(EXACT(B705,C705),NOT(AND(ISBLANK(B705),ISBLANK(C705)))), "Common", "")</f>
        <v/>
      </c>
    </row>
    <row r="706" customFormat="false" ht="15.75" hidden="false" customHeight="false" outlineLevel="0" collapsed="false">
      <c r="A706" s="3" t="s">
        <v>2729</v>
      </c>
      <c r="C706" s="3" t="s">
        <v>1630</v>
      </c>
      <c r="D706" s="4" t="str">
        <f aca="false">IF(AND(EXACT(B706,C706),NOT(AND(ISBLANK(B706),ISBLANK(C706)))), "Common", "")</f>
        <v/>
      </c>
    </row>
    <row r="707" customFormat="false" ht="15.75" hidden="false" customHeight="false" outlineLevel="0" collapsed="false">
      <c r="A707" s="3" t="s">
        <v>2729</v>
      </c>
      <c r="C707" s="3" t="s">
        <v>1654</v>
      </c>
      <c r="D707" s="4" t="str">
        <f aca="false">IF(AND(EXACT(B707,C707),NOT(AND(ISBLANK(B707),ISBLANK(C707)))), "Common", "")</f>
        <v/>
      </c>
    </row>
    <row r="708" customFormat="false" ht="15.75" hidden="false" customHeight="false" outlineLevel="0" collapsed="false">
      <c r="A708" s="3" t="s">
        <v>2729</v>
      </c>
      <c r="C708" s="3" t="s">
        <v>2119</v>
      </c>
      <c r="D708" s="4" t="str">
        <f aca="false">IF(AND(EXACT(B708,C708),NOT(AND(ISBLANK(B708),ISBLANK(C708)))), "Common", "")</f>
        <v/>
      </c>
    </row>
    <row r="709" customFormat="false" ht="15.75" hidden="false" customHeight="false" outlineLevel="0" collapsed="false">
      <c r="A709" s="3" t="s">
        <v>2730</v>
      </c>
      <c r="C709" s="3" t="s">
        <v>2089</v>
      </c>
      <c r="D709" s="4" t="str">
        <f aca="false">IF(AND(EXACT(B709,C709),NOT(AND(ISBLANK(B709),ISBLANK(C709)))), "Common", "")</f>
        <v/>
      </c>
    </row>
    <row r="710" customFormat="false" ht="15.75" hidden="false" customHeight="false" outlineLevel="0" collapsed="false">
      <c r="A710" s="3" t="s">
        <v>2730</v>
      </c>
      <c r="C710" s="3" t="s">
        <v>2103</v>
      </c>
      <c r="D710" s="4" t="str">
        <f aca="false">IF(AND(EXACT(B710,C710),NOT(AND(ISBLANK(B710),ISBLANK(C710)))), "Common", "")</f>
        <v/>
      </c>
    </row>
    <row r="711" customFormat="false" ht="15.75" hidden="false" customHeight="false" outlineLevel="0" collapsed="false">
      <c r="A711" s="3" t="s">
        <v>2730</v>
      </c>
      <c r="C711" s="3" t="s">
        <v>1864</v>
      </c>
      <c r="D711" s="4" t="str">
        <f aca="false">IF(AND(EXACT(B711,C711),NOT(AND(ISBLANK(B711),ISBLANK(C711)))), "Common", "")</f>
        <v/>
      </c>
    </row>
    <row r="712" customFormat="false" ht="15.75" hidden="false" customHeight="false" outlineLevel="0" collapsed="false">
      <c r="A712" s="3" t="s">
        <v>2726</v>
      </c>
      <c r="C712" s="3" t="s">
        <v>1548</v>
      </c>
      <c r="D712" s="4" t="str">
        <f aca="false">IF(AND(EXACT(B712,C712),NOT(AND(ISBLANK(B712),ISBLANK(C712)))), "Common", "")</f>
        <v/>
      </c>
    </row>
    <row r="713" customFormat="false" ht="15.75" hidden="false" customHeight="false" outlineLevel="0" collapsed="false">
      <c r="A713" s="3" t="s">
        <v>2731</v>
      </c>
      <c r="B713" s="3" t="s">
        <v>2041</v>
      </c>
      <c r="C713" s="3"/>
    </row>
    <row r="714" customFormat="false" ht="15.75" hidden="false" customHeight="false" outlineLevel="0" collapsed="false">
      <c r="A714" s="3" t="s">
        <v>2732</v>
      </c>
      <c r="B714" s="3" t="s">
        <v>2150</v>
      </c>
      <c r="C714" s="3"/>
    </row>
    <row r="715" customFormat="false" ht="15.75" hidden="false" customHeight="false" outlineLevel="0" collapsed="false">
      <c r="A715" s="3" t="s">
        <v>2733</v>
      </c>
      <c r="B715" s="3" t="s">
        <v>1582</v>
      </c>
      <c r="C715" s="3" t="s">
        <v>1582</v>
      </c>
    </row>
    <row r="716" customFormat="false" ht="15.75" hidden="false" customHeight="false" outlineLevel="0" collapsed="false">
      <c r="A716" s="3"/>
      <c r="C716" s="3"/>
      <c r="D716" s="4" t="str">
        <f aca="false">IF(AND(EXACT(B716,C716),NOT(AND(ISBLANK(B716),ISBLANK(C716)))), "Common", "")</f>
        <v/>
      </c>
    </row>
    <row r="717" customFormat="false" ht="15.75" hidden="false" customHeight="false" outlineLevel="0" collapsed="false">
      <c r="A717" s="3"/>
      <c r="C717" s="3"/>
      <c r="D717" s="4" t="str">
        <f aca="false">IF(AND(EXACT(B717,C717),NOT(AND(ISBLANK(B717),ISBLANK(C717)))), "Common", "")</f>
        <v/>
      </c>
    </row>
    <row r="718" customFormat="false" ht="15.75" hidden="false" customHeight="false" outlineLevel="0" collapsed="false">
      <c r="A718" s="3"/>
      <c r="C718" s="3"/>
      <c r="D718" s="4" t="str">
        <f aca="false">IF(AND(EXACT(B718,C718),NOT(AND(ISBLANK(B718),ISBLANK(C718)))), "Common", "")</f>
        <v/>
      </c>
    </row>
    <row r="719" customFormat="false" ht="15.75" hidden="false" customHeight="false" outlineLevel="0" collapsed="false">
      <c r="A719" s="3"/>
      <c r="C719" s="3"/>
      <c r="D719" s="4" t="str">
        <f aca="false">IF(AND(EXACT(B719,C719),NOT(AND(ISBLANK(B719),ISBLANK(C719)))), "Common", "")</f>
        <v/>
      </c>
    </row>
    <row r="720" customFormat="false" ht="15.75" hidden="false" customHeight="false" outlineLevel="0" collapsed="false">
      <c r="A720" s="3" t="s">
        <v>2734</v>
      </c>
      <c r="C720" s="3"/>
      <c r="D720" s="4" t="str">
        <f aca="false">IF(AND(EXACT(B720,C720),NOT(AND(ISBLANK(B720),ISBLANK(C720)))), "Common", "")</f>
        <v/>
      </c>
    </row>
    <row r="721" customFormat="false" ht="15.75" hidden="false" customHeight="false" outlineLevel="0" collapsed="false">
      <c r="A721" s="3"/>
      <c r="C721" s="3"/>
      <c r="D721" s="4" t="str">
        <f aca="false">IF(AND(EXACT(B721,C721),NOT(AND(ISBLANK(B721),ISBLANK(C721)))), "Common", "")</f>
        <v/>
      </c>
    </row>
    <row r="722" customFormat="false" ht="15.75" hidden="false" customHeight="false" outlineLevel="0" collapsed="false">
      <c r="A722" s="3"/>
      <c r="C722" s="3"/>
      <c r="D722" s="4" t="str">
        <f aca="false">IF(AND(EXACT(B722,C722),NOT(AND(ISBLANK(B722),ISBLANK(C722)))), "Common", "")</f>
        <v/>
      </c>
    </row>
    <row r="723" customFormat="false" ht="15.75" hidden="false" customHeight="false" outlineLevel="0" collapsed="false">
      <c r="A723" s="3"/>
      <c r="C723" s="3"/>
      <c r="D723" s="4" t="str">
        <f aca="false">IF(AND(EXACT(B723,C723),NOT(AND(ISBLANK(B723),ISBLANK(C723)))), "Common", "")</f>
        <v/>
      </c>
    </row>
    <row r="724" customFormat="false" ht="15.75" hidden="false" customHeight="false" outlineLevel="0" collapsed="false">
      <c r="A724" s="3" t="s">
        <v>299</v>
      </c>
      <c r="B724" s="3" t="s">
        <v>1947</v>
      </c>
      <c r="C724" s="3" t="s">
        <v>1854</v>
      </c>
      <c r="D724" s="4" t="str">
        <f aca="false">IF(AND(EXACT(B724,C724),NOT(AND(ISBLANK(B724),ISBLANK(C724)))), "Common", "")</f>
        <v/>
      </c>
    </row>
    <row r="725" customFormat="false" ht="15.75" hidden="false" customHeight="false" outlineLevel="0" collapsed="false">
      <c r="A725" s="3" t="s">
        <v>298</v>
      </c>
      <c r="B725" s="3" t="s">
        <v>2013</v>
      </c>
      <c r="C725" s="3" t="s">
        <v>2013</v>
      </c>
      <c r="D725" s="4" t="str">
        <f aca="false">IF(AND(EXACT(B725,C725),NOT(AND(ISBLANK(B725),ISBLANK(C725)))), "Common", "")</f>
        <v>Common</v>
      </c>
    </row>
    <row r="726" customFormat="false" ht="15.75" hidden="false" customHeight="false" outlineLevel="0" collapsed="false">
      <c r="A726" s="3" t="s">
        <v>298</v>
      </c>
      <c r="B726" s="3"/>
      <c r="C726" s="3" t="s">
        <v>2560</v>
      </c>
      <c r="D726" s="4" t="str">
        <f aca="false">IF(AND(EXACT(B726,C726),NOT(AND(ISBLANK(B726),ISBLANK(C726)))), "Common", "")</f>
        <v/>
      </c>
    </row>
    <row r="727" customFormat="false" ht="15.75" hidden="false" customHeight="false" outlineLevel="0" collapsed="false">
      <c r="A727" s="3" t="s">
        <v>298</v>
      </c>
      <c r="B727" s="3"/>
      <c r="C727" s="3" t="s">
        <v>2520</v>
      </c>
      <c r="D727" s="4" t="str">
        <f aca="false">IF(AND(EXACT(B727,C727),NOT(AND(ISBLANK(B727),ISBLANK(C727)))), "Common", "")</f>
        <v/>
      </c>
    </row>
    <row r="728" customFormat="false" ht="15.75" hidden="false" customHeight="false" outlineLevel="0" collapsed="false">
      <c r="A728" s="3" t="s">
        <v>298</v>
      </c>
      <c r="B728" s="3" t="s">
        <v>2037</v>
      </c>
      <c r="C728" s="3"/>
      <c r="D728" s="4" t="str">
        <f aca="false">IF(AND(EXACT(B728,C728),NOT(AND(ISBLANK(B728),ISBLANK(C728)))), "Common", "")</f>
        <v/>
      </c>
    </row>
    <row r="729" customFormat="false" ht="15.75" hidden="false" customHeight="false" outlineLevel="0" collapsed="false">
      <c r="A729" s="3" t="s">
        <v>298</v>
      </c>
      <c r="B729" s="3" t="s">
        <v>2034</v>
      </c>
      <c r="C729" s="3"/>
      <c r="D729" s="4" t="str">
        <f aca="false">IF(AND(EXACT(B729,C729),NOT(AND(ISBLANK(B729),ISBLANK(C729)))), "Common", "")</f>
        <v/>
      </c>
    </row>
    <row r="730" customFormat="false" ht="15.75" hidden="false" customHeight="false" outlineLevel="0" collapsed="false">
      <c r="A730" s="3" t="s">
        <v>298</v>
      </c>
      <c r="B730" s="3" t="s">
        <v>2050</v>
      </c>
      <c r="C730" s="3"/>
      <c r="D730" s="4" t="str">
        <f aca="false">IF(AND(EXACT(B730,C730),NOT(AND(ISBLANK(B730),ISBLANK(C730)))), "Common", "")</f>
        <v/>
      </c>
    </row>
    <row r="731" customFormat="false" ht="15.75" hidden="false" customHeight="false" outlineLevel="0" collapsed="false">
      <c r="A731" s="3" t="s">
        <v>298</v>
      </c>
      <c r="B731" s="3" t="s">
        <v>2092</v>
      </c>
      <c r="C731" s="3"/>
      <c r="D731" s="4" t="str">
        <f aca="false">IF(AND(EXACT(B731,C731),NOT(AND(ISBLANK(B731),ISBLANK(C731)))), "Common", "")</f>
        <v/>
      </c>
    </row>
    <row r="732" customFormat="false" ht="15.75" hidden="false" customHeight="false" outlineLevel="0" collapsed="false">
      <c r="A732" s="3" t="s">
        <v>298</v>
      </c>
      <c r="B732" s="3" t="s">
        <v>2425</v>
      </c>
      <c r="C732" s="3"/>
      <c r="D732" s="4" t="str">
        <f aca="false">IF(AND(EXACT(B732,C732),NOT(AND(ISBLANK(B732),ISBLANK(C732)))), "Common", "")</f>
        <v/>
      </c>
    </row>
    <row r="733" customFormat="false" ht="15.75" hidden="false" customHeight="false" outlineLevel="0" collapsed="false">
      <c r="A733" s="3" t="s">
        <v>299</v>
      </c>
      <c r="C733" s="3" t="s">
        <v>2033</v>
      </c>
      <c r="D733" s="4" t="str">
        <f aca="false">IF(AND(EXACT(B733,C733),NOT(AND(ISBLANK(B733),ISBLANK(C733)))), "Common", "")</f>
        <v/>
      </c>
    </row>
    <row r="734" customFormat="false" ht="15.75" hidden="false" customHeight="false" outlineLevel="0" collapsed="false">
      <c r="A734" s="3" t="s">
        <v>299</v>
      </c>
      <c r="C734" s="3" t="s">
        <v>2035</v>
      </c>
      <c r="D734" s="4" t="str">
        <f aca="false">IF(AND(EXACT(B734,C734),NOT(AND(ISBLANK(B734),ISBLANK(C734)))), "Common", "")</f>
        <v/>
      </c>
    </row>
    <row r="735" customFormat="false" ht="15.75" hidden="false" customHeight="false" outlineLevel="0" collapsed="false">
      <c r="A735" s="3" t="s">
        <v>292</v>
      </c>
      <c r="C735" s="3" t="s">
        <v>1765</v>
      </c>
      <c r="D735" s="4" t="str">
        <f aca="false">IF(AND(EXACT(B735,C735),NOT(AND(ISBLANK(B735),ISBLANK(C735)))), "Common", "")</f>
        <v/>
      </c>
    </row>
    <row r="736" customFormat="false" ht="15.75" hidden="false" customHeight="false" outlineLevel="0" collapsed="false">
      <c r="A736" s="3" t="s">
        <v>292</v>
      </c>
      <c r="C736" s="3" t="s">
        <v>1767</v>
      </c>
      <c r="D736" s="4" t="str">
        <f aca="false">IF(AND(EXACT(B736,C736),NOT(AND(ISBLANK(B736),ISBLANK(C736)))), "Common", "")</f>
        <v/>
      </c>
    </row>
    <row r="737" customFormat="false" ht="15.75" hidden="false" customHeight="false" outlineLevel="0" collapsed="false">
      <c r="A737" s="3" t="s">
        <v>292</v>
      </c>
      <c r="C737" s="3" t="s">
        <v>1769</v>
      </c>
      <c r="D737" s="4" t="str">
        <f aca="false">IF(AND(EXACT(B737,C737),NOT(AND(ISBLANK(B737),ISBLANK(C737)))), "Common", "")</f>
        <v/>
      </c>
    </row>
    <row r="738" customFormat="false" ht="15.75" hidden="false" customHeight="false" outlineLevel="0" collapsed="false">
      <c r="A738" s="3" t="s">
        <v>292</v>
      </c>
      <c r="B738" s="3"/>
      <c r="C738" s="3" t="s">
        <v>1771</v>
      </c>
      <c r="D738" s="4" t="str">
        <f aca="false">IF(AND(EXACT(B738,C738),NOT(AND(ISBLANK(B738),ISBLANK(C738)))), "Common", "")</f>
        <v/>
      </c>
    </row>
    <row r="739" customFormat="false" ht="15.75" hidden="false" customHeight="false" outlineLevel="0" collapsed="false">
      <c r="A739" s="3" t="s">
        <v>292</v>
      </c>
      <c r="B739" s="3" t="s">
        <v>535</v>
      </c>
      <c r="C739" s="3"/>
      <c r="D739" s="4" t="str">
        <f aca="false">IF(AND(EXACT(B739,C739),NOT(AND(ISBLANK(B739),ISBLANK(C739)))), "Common", "")</f>
        <v/>
      </c>
    </row>
    <row r="740" customFormat="false" ht="15.75" hidden="false" customHeight="false" outlineLevel="0" collapsed="false">
      <c r="A740" s="3" t="s">
        <v>292</v>
      </c>
      <c r="B740" s="3" t="s">
        <v>1861</v>
      </c>
      <c r="C740" s="3" t="s">
        <v>1861</v>
      </c>
      <c r="D740" s="4" t="str">
        <f aca="false">IF(AND(EXACT(B740,C740),NOT(AND(ISBLANK(B740),ISBLANK(C740)))), "Common", "")</f>
        <v>Common</v>
      </c>
    </row>
    <row r="741" customFormat="false" ht="15.75" hidden="false" customHeight="false" outlineLevel="0" collapsed="false">
      <c r="A741" s="3" t="s">
        <v>2735</v>
      </c>
      <c r="B741" s="3"/>
      <c r="C741" s="3" t="s">
        <v>1711</v>
      </c>
      <c r="D741" s="4" t="str">
        <f aca="false">IF(AND(EXACT(B741,C741),NOT(AND(ISBLANK(B741),ISBLANK(C741)))), "Common", "")</f>
        <v/>
      </c>
    </row>
    <row r="742" customFormat="false" ht="15.75" hidden="false" customHeight="false" outlineLevel="0" collapsed="false">
      <c r="A742" s="3" t="s">
        <v>2735</v>
      </c>
      <c r="B742" s="3" t="s">
        <v>1889</v>
      </c>
      <c r="C742" s="3" t="s">
        <v>1713</v>
      </c>
      <c r="D742" s="4" t="str">
        <f aca="false">IF(AND(EXACT(B742,C742),NOT(AND(ISBLANK(B742),ISBLANK(C742)))), "Common", "")</f>
        <v/>
      </c>
    </row>
    <row r="743" customFormat="false" ht="15.75" hidden="false" customHeight="false" outlineLevel="0" collapsed="false">
      <c r="A743" s="3" t="s">
        <v>2735</v>
      </c>
      <c r="B743" s="3"/>
      <c r="C743" s="3" t="s">
        <v>1715</v>
      </c>
      <c r="D743" s="4" t="str">
        <f aca="false">IF(AND(EXACT(B743,C743),NOT(AND(ISBLANK(B743),ISBLANK(C743)))), "Common", "")</f>
        <v/>
      </c>
    </row>
    <row r="744" customFormat="false" ht="15.75" hidden="false" customHeight="false" outlineLevel="0" collapsed="false">
      <c r="A744" s="3" t="s">
        <v>300</v>
      </c>
      <c r="B744" s="3" t="s">
        <v>1952</v>
      </c>
      <c r="C744" s="3" t="s">
        <v>1952</v>
      </c>
      <c r="D744" s="4" t="str">
        <f aca="false">IF(AND(EXACT(B744,C744),NOT(AND(ISBLANK(B744),ISBLANK(C744)))), "Common", "")</f>
        <v>Common</v>
      </c>
    </row>
    <row r="745" customFormat="false" ht="15.75" hidden="false" customHeight="false" outlineLevel="0" collapsed="false">
      <c r="A745" s="3" t="s">
        <v>300</v>
      </c>
      <c r="B745" s="3" t="s">
        <v>2133</v>
      </c>
      <c r="C745" s="3" t="s">
        <v>2133</v>
      </c>
      <c r="D745" s="4" t="str">
        <f aca="false">IF(AND(EXACT(B745,C745),NOT(AND(ISBLANK(B745),ISBLANK(C745)))), "Common", "")</f>
        <v>Common</v>
      </c>
    </row>
    <row r="746" customFormat="false" ht="15.75" hidden="false" customHeight="false" outlineLevel="0" collapsed="false">
      <c r="A746" s="3" t="s">
        <v>2736</v>
      </c>
      <c r="B746" s="3" t="s">
        <v>1662</v>
      </c>
      <c r="C746" s="3" t="s">
        <v>1662</v>
      </c>
      <c r="D746" s="4" t="str">
        <f aca="false">IF(AND(EXACT(B746,C746),NOT(AND(ISBLANK(B746),ISBLANK(C746)))), "Common", "")</f>
        <v>Common</v>
      </c>
    </row>
    <row r="747" customFormat="false" ht="15.75" hidden="false" customHeight="false" outlineLevel="0" collapsed="false">
      <c r="A747" s="3" t="s">
        <v>2736</v>
      </c>
      <c r="B747" s="3" t="s">
        <v>1768</v>
      </c>
      <c r="D747" s="4" t="str">
        <f aca="false">IF(AND(EXACT(B747,C747),NOT(AND(ISBLANK(B747),ISBLANK(C747)))), "Common", "")</f>
        <v/>
      </c>
    </row>
    <row r="748" customFormat="false" ht="15.75" hidden="false" customHeight="false" outlineLevel="0" collapsed="false">
      <c r="A748" s="3" t="s">
        <v>2736</v>
      </c>
      <c r="C748" s="3" t="s">
        <v>1676</v>
      </c>
      <c r="D748" s="4" t="str">
        <f aca="false">IF(AND(EXACT(B748,C748),NOT(AND(ISBLANK(B748),ISBLANK(C748)))), "Common", "")</f>
        <v/>
      </c>
    </row>
    <row r="749" customFormat="false" ht="15.75" hidden="false" customHeight="false" outlineLevel="0" collapsed="false">
      <c r="A749" s="3" t="s">
        <v>2737</v>
      </c>
      <c r="B749" s="3" t="s">
        <v>2173</v>
      </c>
      <c r="D749" s="4" t="str">
        <f aca="false">IF(AND(EXACT(B749,C749),NOT(AND(ISBLANK(B749),ISBLANK(C749)))), "Common", "")</f>
        <v/>
      </c>
    </row>
    <row r="750" customFormat="false" ht="15.75" hidden="false" customHeight="false" outlineLevel="0" collapsed="false">
      <c r="A750" s="3" t="s">
        <v>2737</v>
      </c>
      <c r="B750" s="3" t="s">
        <v>2180</v>
      </c>
      <c r="D750" s="4" t="str">
        <f aca="false">IF(AND(EXACT(B750,C750),NOT(AND(ISBLANK(B750),ISBLANK(C750)))), "Common", "")</f>
        <v/>
      </c>
    </row>
    <row r="751" customFormat="false" ht="15.75" hidden="false" customHeight="false" outlineLevel="0" collapsed="false">
      <c r="A751" s="4"/>
      <c r="D751" s="4" t="str">
        <f aca="false">IF(AND(EXACT(B751,C751),NOT(AND(ISBLANK(B751),ISBLANK(C751)))), "Common", "")</f>
        <v/>
      </c>
    </row>
    <row r="752" customFormat="false" ht="15.75" hidden="false" customHeight="false" outlineLevel="0" collapsed="false">
      <c r="A752" s="3" t="s">
        <v>2737</v>
      </c>
      <c r="C752" s="3" t="s">
        <v>2109</v>
      </c>
      <c r="D752" s="4" t="str">
        <f aca="false">IF(AND(EXACT(B752,C752),NOT(AND(ISBLANK(B752),ISBLANK(C752)))), "Common", "")</f>
        <v/>
      </c>
    </row>
    <row r="753" customFormat="false" ht="15.75" hidden="false" customHeight="false" outlineLevel="0" collapsed="false">
      <c r="A753" s="3" t="s">
        <v>2738</v>
      </c>
      <c r="C753" s="3" t="s">
        <v>1743</v>
      </c>
      <c r="D753" s="4" t="str">
        <f aca="false">IF(AND(EXACT(B753,C753),NOT(AND(ISBLANK(B753),ISBLANK(C753)))), "Common", "")</f>
        <v/>
      </c>
    </row>
    <row r="754" customFormat="false" ht="15.75" hidden="false" customHeight="false" outlineLevel="0" collapsed="false">
      <c r="A754" s="3" t="s">
        <v>2738</v>
      </c>
      <c r="B754" s="3" t="s">
        <v>2534</v>
      </c>
      <c r="C754" s="3"/>
      <c r="D754" s="4" t="str">
        <f aca="false">IF(AND(EXACT(B754,C754),NOT(AND(ISBLANK(B754),ISBLANK(C754)))), "Common", "")</f>
        <v/>
      </c>
    </row>
    <row r="755" customFormat="false" ht="15.75" hidden="false" customHeight="false" outlineLevel="0" collapsed="false">
      <c r="A755" s="3" t="s">
        <v>2739</v>
      </c>
      <c r="B755" s="3" t="s">
        <v>1795</v>
      </c>
      <c r="C755" s="3" t="s">
        <v>1795</v>
      </c>
      <c r="D755" s="4" t="str">
        <f aca="false">IF(AND(EXACT(B755,C755),NOT(AND(ISBLANK(B755),ISBLANK(C755)))), "Common", "")</f>
        <v>Common</v>
      </c>
    </row>
    <row r="756" customFormat="false" ht="15.75" hidden="false" customHeight="false" outlineLevel="0" collapsed="false">
      <c r="A756" s="3" t="s">
        <v>2740</v>
      </c>
      <c r="B756" s="3" t="s">
        <v>1742</v>
      </c>
      <c r="C756" s="3" t="s">
        <v>1742</v>
      </c>
      <c r="D756" s="4" t="str">
        <f aca="false">IF(AND(EXACT(B756,C756),NOT(AND(ISBLANK(B756),ISBLANK(C756)))), "Common", "")</f>
        <v>Common</v>
      </c>
    </row>
    <row r="757" customFormat="false" ht="15.75" hidden="false" customHeight="false" outlineLevel="0" collapsed="false">
      <c r="A757" s="3" t="s">
        <v>2740</v>
      </c>
      <c r="C757" s="3" t="s">
        <v>1744</v>
      </c>
      <c r="D757" s="4" t="str">
        <f aca="false">IF(AND(EXACT(B757,C757),NOT(AND(ISBLANK(B757),ISBLANK(C757)))), "Common", "")</f>
        <v/>
      </c>
    </row>
    <row r="758" customFormat="false" ht="15.75" hidden="false" customHeight="false" outlineLevel="0" collapsed="false">
      <c r="A758" s="3" t="s">
        <v>2740</v>
      </c>
      <c r="B758" s="3"/>
      <c r="C758" s="3" t="s">
        <v>1746</v>
      </c>
      <c r="D758" s="4" t="str">
        <f aca="false">IF(AND(EXACT(B758,C758),NOT(AND(ISBLANK(B758),ISBLANK(C758)))), "Common", "")</f>
        <v/>
      </c>
    </row>
    <row r="759" customFormat="false" ht="15.75" hidden="false" customHeight="false" outlineLevel="0" collapsed="false">
      <c r="A759" s="3" t="s">
        <v>2740</v>
      </c>
      <c r="B759" s="3"/>
      <c r="C759" s="3" t="s">
        <v>2332</v>
      </c>
      <c r="D759" s="4" t="str">
        <f aca="false">IF(AND(EXACT(B759,C759),NOT(AND(ISBLANK(B759),ISBLANK(C759)))), "Common", "")</f>
        <v/>
      </c>
    </row>
    <row r="760" customFormat="false" ht="15.75" hidden="false" customHeight="false" outlineLevel="0" collapsed="false">
      <c r="A760" s="3" t="s">
        <v>678</v>
      </c>
      <c r="B760" s="3" t="s">
        <v>1562</v>
      </c>
      <c r="C760" s="3" t="s">
        <v>1562</v>
      </c>
      <c r="D760" s="4" t="str">
        <f aca="false">IF(AND(EXACT(B760,C760),NOT(AND(ISBLANK(B760),ISBLANK(C760)))), "Common", "")</f>
        <v>Common</v>
      </c>
    </row>
    <row r="761" customFormat="false" ht="15.75" hidden="false" customHeight="false" outlineLevel="0" collapsed="false">
      <c r="A761" s="3" t="s">
        <v>678</v>
      </c>
      <c r="B761" s="3" t="s">
        <v>1564</v>
      </c>
      <c r="C761" s="3" t="s">
        <v>1564</v>
      </c>
      <c r="D761" s="4" t="str">
        <f aca="false">IF(AND(EXACT(B761,C761),NOT(AND(ISBLANK(B761),ISBLANK(C761)))), "Common", "")</f>
        <v>Common</v>
      </c>
    </row>
    <row r="762" customFormat="false" ht="15.75" hidden="false" customHeight="false" outlineLevel="0" collapsed="false">
      <c r="A762" s="3" t="s">
        <v>678</v>
      </c>
      <c r="B762" s="3" t="s">
        <v>1664</v>
      </c>
      <c r="C762" s="3" t="s">
        <v>1664</v>
      </c>
      <c r="D762" s="4" t="str">
        <f aca="false">IF(AND(EXACT(B762,C762),NOT(AND(ISBLANK(B762),ISBLANK(C762)))), "Common", "")</f>
        <v>Common</v>
      </c>
    </row>
    <row r="763" customFormat="false" ht="15.75" hidden="false" customHeight="false" outlineLevel="0" collapsed="false">
      <c r="A763" s="3" t="s">
        <v>678</v>
      </c>
      <c r="C763" s="3" t="s">
        <v>1666</v>
      </c>
      <c r="D763" s="4" t="str">
        <f aca="false">IF(AND(EXACT(B763,C763),NOT(AND(ISBLANK(B763),ISBLANK(C763)))), "Common", "")</f>
        <v/>
      </c>
    </row>
    <row r="764" customFormat="false" ht="15.75" hidden="false" customHeight="false" outlineLevel="0" collapsed="false">
      <c r="A764" s="3" t="s">
        <v>678</v>
      </c>
      <c r="B764" s="3"/>
      <c r="C764" s="3" t="s">
        <v>1668</v>
      </c>
      <c r="D764" s="4" t="str">
        <f aca="false">IF(AND(EXACT(B764,C764),NOT(AND(ISBLANK(B764),ISBLANK(C764)))), "Common", "")</f>
        <v/>
      </c>
    </row>
    <row r="765" customFormat="false" ht="15.75" hidden="false" customHeight="false" outlineLevel="0" collapsed="false">
      <c r="A765" s="3" t="s">
        <v>678</v>
      </c>
      <c r="C765" s="3" t="s">
        <v>1678</v>
      </c>
      <c r="D765" s="4" t="str">
        <f aca="false">IF(AND(EXACT(B765,C765),NOT(AND(ISBLANK(B765),ISBLANK(C765)))), "Common", "")</f>
        <v/>
      </c>
    </row>
    <row r="766" customFormat="false" ht="15.75" hidden="false" customHeight="false" outlineLevel="0" collapsed="false">
      <c r="A766" s="3" t="s">
        <v>678</v>
      </c>
      <c r="C766" s="3" t="s">
        <v>1574</v>
      </c>
      <c r="D766" s="4" t="str">
        <f aca="false">IF(AND(EXACT(B766,C766),NOT(AND(ISBLANK(B766),ISBLANK(C766)))), "Common", "")</f>
        <v/>
      </c>
    </row>
    <row r="767" customFormat="false" ht="15.75" hidden="false" customHeight="false" outlineLevel="0" collapsed="false">
      <c r="A767" s="3" t="s">
        <v>678</v>
      </c>
      <c r="C767" s="3" t="s">
        <v>2627</v>
      </c>
      <c r="D767" s="4" t="str">
        <f aca="false">IF(AND(EXACT(B767,C767),NOT(AND(ISBLANK(B767),ISBLANK(C767)))), "Common", "")</f>
        <v/>
      </c>
    </row>
    <row r="768" customFormat="false" ht="15.75" hidden="false" customHeight="false" outlineLevel="0" collapsed="false">
      <c r="A768" s="3" t="s">
        <v>2741</v>
      </c>
      <c r="B768" s="3"/>
      <c r="C768" s="3" t="s">
        <v>2556</v>
      </c>
      <c r="D768" s="4" t="str">
        <f aca="false">IF(AND(EXACT(B768,C768),NOT(AND(ISBLANK(B768),ISBLANK(C768)))), "Common", "")</f>
        <v/>
      </c>
    </row>
    <row r="769" customFormat="false" ht="15.75" hidden="false" customHeight="false" outlineLevel="0" collapsed="false">
      <c r="A769" s="3" t="s">
        <v>2741</v>
      </c>
      <c r="B769" s="3"/>
      <c r="C769" s="3" t="s">
        <v>2555</v>
      </c>
      <c r="D769" s="4" t="str">
        <f aca="false">IF(AND(EXACT(B769,C769),NOT(AND(ISBLANK(B769),ISBLANK(C769)))), "Common", "")</f>
        <v/>
      </c>
    </row>
    <row r="770" customFormat="false" ht="15.75" hidden="false" customHeight="false" outlineLevel="0" collapsed="false">
      <c r="A770" s="3" t="s">
        <v>298</v>
      </c>
      <c r="B770" s="3"/>
      <c r="C770" s="3" t="s">
        <v>1502</v>
      </c>
      <c r="D770" s="4" t="str">
        <f aca="false">IF(AND(EXACT(B770,C770),NOT(AND(ISBLANK(B770),ISBLANK(C770)))), "Common", "")</f>
        <v/>
      </c>
    </row>
    <row r="771" customFormat="false" ht="15.75" hidden="false" customHeight="false" outlineLevel="0" collapsed="false">
      <c r="A771" s="3" t="s">
        <v>299</v>
      </c>
      <c r="B771" s="3" t="s">
        <v>2054</v>
      </c>
      <c r="C771" s="3" t="s">
        <v>2054</v>
      </c>
      <c r="D771" s="4" t="str">
        <f aca="false">IF(AND(EXACT(B771,C771),NOT(AND(ISBLANK(B771),ISBLANK(C771)))), "Common", "")</f>
        <v>Common</v>
      </c>
    </row>
    <row r="772" customFormat="false" ht="15.75" hidden="false" customHeight="false" outlineLevel="0" collapsed="false">
      <c r="A772" s="3" t="s">
        <v>299</v>
      </c>
      <c r="B772" s="3" t="s">
        <v>2110</v>
      </c>
      <c r="C772" s="3" t="s">
        <v>2110</v>
      </c>
      <c r="D772" s="4" t="str">
        <f aca="false">IF(AND(EXACT(B772,C772),NOT(AND(ISBLANK(B772),ISBLANK(C772)))), "Common", "")</f>
        <v>Common</v>
      </c>
    </row>
    <row r="773" customFormat="false" ht="15.75" hidden="false" customHeight="false" outlineLevel="0" collapsed="false">
      <c r="A773" s="4"/>
    </row>
    <row r="774" customFormat="false" ht="15.75" hidden="false" customHeight="false" outlineLevel="0" collapsed="false">
      <c r="A774" s="3" t="s">
        <v>299</v>
      </c>
      <c r="C774" s="3" t="s">
        <v>2111</v>
      </c>
      <c r="D774" s="4" t="str">
        <f aca="false">IF(AND(EXACT(B774,C774),NOT(AND(ISBLANK(B774),ISBLANK(C774)))), "Common", "")</f>
        <v/>
      </c>
    </row>
    <row r="775" customFormat="false" ht="15.75" hidden="false" customHeight="false" outlineLevel="0" collapsed="false">
      <c r="A775" s="3" t="s">
        <v>299</v>
      </c>
      <c r="C775" s="3" t="s">
        <v>2112</v>
      </c>
      <c r="D775" s="4" t="str">
        <f aca="false">IF(AND(EXACT(B775,C775),NOT(AND(ISBLANK(B775),ISBLANK(C775)))), "Common", "")</f>
        <v/>
      </c>
    </row>
    <row r="776" customFormat="false" ht="15.75" hidden="false" customHeight="false" outlineLevel="0" collapsed="false">
      <c r="A776" s="3" t="s">
        <v>298</v>
      </c>
      <c r="B776" s="3" t="s">
        <v>1824</v>
      </c>
      <c r="D776" s="4" t="str">
        <f aca="false">IF(AND(EXACT(B776,C776),NOT(AND(ISBLANK(B776),ISBLANK(C776)))), "Common", "")</f>
        <v/>
      </c>
    </row>
    <row r="777" customFormat="false" ht="15.75" hidden="false" customHeight="false" outlineLevel="0" collapsed="false">
      <c r="A777" s="3" t="s">
        <v>298</v>
      </c>
      <c r="B777" s="3" t="s">
        <v>1826</v>
      </c>
      <c r="D777" s="4" t="str">
        <f aca="false">IF(AND(EXACT(B777,C777),NOT(AND(ISBLANK(B777),ISBLANK(C777)))), "Common", "")</f>
        <v/>
      </c>
    </row>
    <row r="778" customFormat="false" ht="15.75" hidden="false" customHeight="false" outlineLevel="0" collapsed="false">
      <c r="A778" s="3" t="s">
        <v>298</v>
      </c>
      <c r="C778" s="3" t="s">
        <v>2129</v>
      </c>
      <c r="D778" s="4" t="str">
        <f aca="false">IF(AND(EXACT(B778,C778),NOT(AND(ISBLANK(B778),ISBLANK(C778)))), "Common", "")</f>
        <v/>
      </c>
    </row>
    <row r="779" customFormat="false" ht="15.75" hidden="false" customHeight="false" outlineLevel="0" collapsed="false">
      <c r="A779" s="3" t="s">
        <v>299</v>
      </c>
      <c r="B779" s="3" t="s">
        <v>2138</v>
      </c>
      <c r="C779" s="3"/>
    </row>
    <row r="780" customFormat="false" ht="15.75" hidden="false" customHeight="false" outlineLevel="0" collapsed="false">
      <c r="A780" s="3" t="s">
        <v>681</v>
      </c>
      <c r="B780" s="3" t="s">
        <v>1885</v>
      </c>
      <c r="C780" s="3" t="s">
        <v>1885</v>
      </c>
      <c r="D780" s="4" t="str">
        <f aca="false">IF(AND(EXACT(B780,C780),NOT(AND(ISBLANK(B780),ISBLANK(C780)))), "Common", "")</f>
        <v>Common</v>
      </c>
    </row>
    <row r="781" customFormat="false" ht="15.75" hidden="false" customHeight="false" outlineLevel="0" collapsed="false">
      <c r="A781" s="3" t="s">
        <v>681</v>
      </c>
      <c r="B781" s="3" t="s">
        <v>1821</v>
      </c>
      <c r="C781" s="3" t="s">
        <v>1821</v>
      </c>
      <c r="D781" s="4" t="str">
        <f aca="false">IF(AND(EXACT(B781,C781),NOT(AND(ISBLANK(B781),ISBLANK(C781)))), "Common", "")</f>
        <v>Common</v>
      </c>
    </row>
    <row r="782" customFormat="false" ht="15.75" hidden="false" customHeight="false" outlineLevel="0" collapsed="false">
      <c r="A782" s="3" t="s">
        <v>681</v>
      </c>
      <c r="B782" s="3" t="s">
        <v>1822</v>
      </c>
      <c r="C782" s="3" t="s">
        <v>1822</v>
      </c>
      <c r="D782" s="4" t="str">
        <f aca="false">IF(AND(EXACT(B782,C782),NOT(AND(ISBLANK(B782),ISBLANK(C782)))), "Common", "")</f>
        <v>Common</v>
      </c>
    </row>
    <row r="783" customFormat="false" ht="15.75" hidden="false" customHeight="false" outlineLevel="0" collapsed="false">
      <c r="A783" s="3" t="s">
        <v>681</v>
      </c>
      <c r="B783" s="3" t="s">
        <v>1823</v>
      </c>
      <c r="C783" s="3" t="s">
        <v>1823</v>
      </c>
      <c r="D783" s="4" t="str">
        <f aca="false">IF(AND(EXACT(B783,C783),NOT(AND(ISBLANK(B783),ISBLANK(C783)))), "Common", "")</f>
        <v>Common</v>
      </c>
    </row>
    <row r="784" customFormat="false" ht="15.75" hidden="false" customHeight="false" outlineLevel="0" collapsed="false">
      <c r="A784" s="3" t="s">
        <v>681</v>
      </c>
      <c r="B784" s="3" t="s">
        <v>1825</v>
      </c>
      <c r="C784" s="3" t="s">
        <v>1825</v>
      </c>
      <c r="D784" s="4" t="str">
        <f aca="false">IF(AND(EXACT(B784,C784),NOT(AND(ISBLANK(B784),ISBLANK(C784)))), "Common", "")</f>
        <v>Common</v>
      </c>
    </row>
    <row r="785" customFormat="false" ht="15.75" hidden="false" customHeight="false" outlineLevel="0" collapsed="false">
      <c r="A785" s="3" t="s">
        <v>2742</v>
      </c>
      <c r="B785" s="3" t="s">
        <v>2429</v>
      </c>
      <c r="C785" s="3" t="s">
        <v>2334</v>
      </c>
      <c r="D785" s="4" t="str">
        <f aca="false">IF(AND(EXACT(B785,C785),NOT(AND(ISBLANK(B785),ISBLANK(C785)))), "Common", "")</f>
        <v/>
      </c>
    </row>
    <row r="786" customFormat="false" ht="15.75" hidden="false" customHeight="false" outlineLevel="0" collapsed="false">
      <c r="A786" s="3" t="s">
        <v>2743</v>
      </c>
      <c r="B786" s="3"/>
      <c r="C786" s="3" t="s">
        <v>2558</v>
      </c>
      <c r="D786" s="4" t="str">
        <f aca="false">IF(AND(EXACT(B786,C786),NOT(AND(ISBLANK(B786),ISBLANK(C786)))), "Common", "")</f>
        <v/>
      </c>
    </row>
    <row r="787" customFormat="false" ht="15.75" hidden="false" customHeight="false" outlineLevel="0" collapsed="false">
      <c r="A787" s="3" t="s">
        <v>2743</v>
      </c>
      <c r="B787" s="3"/>
      <c r="C787" s="3" t="s">
        <v>1986</v>
      </c>
      <c r="D787" s="4" t="str">
        <f aca="false">IF(AND(EXACT(B787,C787),NOT(AND(ISBLANK(B787),ISBLANK(C787)))), "Common", "")</f>
        <v/>
      </c>
    </row>
    <row r="788" customFormat="false" ht="15.75" hidden="false" customHeight="false" outlineLevel="0" collapsed="false">
      <c r="A788" s="3" t="s">
        <v>2743</v>
      </c>
      <c r="B788" s="3" t="s">
        <v>1719</v>
      </c>
      <c r="C788" s="3" t="s">
        <v>1719</v>
      </c>
      <c r="D788" s="4" t="str">
        <f aca="false">IF(AND(EXACT(B788,C788),NOT(AND(ISBLANK(B788),ISBLANK(C788)))), "Common", "")</f>
        <v>Common</v>
      </c>
    </row>
    <row r="789" customFormat="false" ht="15.75" hidden="false" customHeight="false" outlineLevel="0" collapsed="false">
      <c r="A789" s="3" t="s">
        <v>2743</v>
      </c>
      <c r="B789" s="3"/>
      <c r="C789" s="3" t="s">
        <v>1699</v>
      </c>
      <c r="D789" s="4" t="str">
        <f aca="false">IF(AND(EXACT(B789,C789),NOT(AND(ISBLANK(B789),ISBLANK(C789)))), "Common", "")</f>
        <v/>
      </c>
    </row>
    <row r="790" customFormat="false" ht="15.75" hidden="false" customHeight="false" outlineLevel="0" collapsed="false">
      <c r="A790" s="3" t="s">
        <v>2743</v>
      </c>
      <c r="B790" s="3" t="s">
        <v>2196</v>
      </c>
      <c r="C790" s="3" t="s">
        <v>2196</v>
      </c>
      <c r="D790" s="4" t="str">
        <f aca="false">IF(AND(EXACT(B790,C790),NOT(AND(ISBLANK(B790),ISBLANK(C790)))), "Common", "")</f>
        <v>Common</v>
      </c>
    </row>
    <row r="791" customFormat="false" ht="15.75" hidden="false" customHeight="false" outlineLevel="0" collapsed="false">
      <c r="A791" s="3" t="s">
        <v>298</v>
      </c>
      <c r="B791" s="3" t="s">
        <v>1899</v>
      </c>
      <c r="D791" s="4" t="str">
        <f aca="false">IF(AND(EXACT(B791,C791),NOT(AND(ISBLANK(B791),ISBLANK(C791)))), "Common", "")</f>
        <v/>
      </c>
    </row>
    <row r="792" customFormat="false" ht="15.75" hidden="false" customHeight="false" outlineLevel="0" collapsed="false">
      <c r="A792" s="3" t="s">
        <v>298</v>
      </c>
      <c r="B792" s="3" t="s">
        <v>2282</v>
      </c>
      <c r="C792" s="3" t="s">
        <v>2282</v>
      </c>
      <c r="D792" s="4" t="str">
        <f aca="false">IF(AND(EXACT(B792,C792),NOT(AND(ISBLANK(B792),ISBLANK(C792)))), "Common", "")</f>
        <v>Common</v>
      </c>
    </row>
    <row r="793" customFormat="false" ht="15.75" hidden="false" customHeight="false" outlineLevel="0" collapsed="false">
      <c r="A793" s="3" t="s">
        <v>298</v>
      </c>
      <c r="B793" s="3" t="s">
        <v>1896</v>
      </c>
      <c r="D793" s="4" t="str">
        <f aca="false">IF(AND(EXACT(B793,C793),NOT(AND(ISBLANK(B793),ISBLANK(C793)))), "Common", "")</f>
        <v/>
      </c>
    </row>
    <row r="794" customFormat="false" ht="15.75" hidden="false" customHeight="false" outlineLevel="0" collapsed="false">
      <c r="A794" s="3" t="s">
        <v>298</v>
      </c>
      <c r="B794" s="3" t="s">
        <v>1509</v>
      </c>
      <c r="D794" s="4" t="str">
        <f aca="false">IF(AND(EXACT(B794,C794),NOT(AND(ISBLANK(B794),ISBLANK(C794)))), "Common", "")</f>
        <v/>
      </c>
    </row>
    <row r="795" customFormat="false" ht="15.75" hidden="false" customHeight="false" outlineLevel="0" collapsed="false">
      <c r="A795" s="3" t="s">
        <v>2744</v>
      </c>
      <c r="B795" s="3" t="s">
        <v>1801</v>
      </c>
      <c r="C795" s="3" t="s">
        <v>1802</v>
      </c>
      <c r="D795" s="4" t="str">
        <f aca="false">IF(AND(EXACT(B795,C795),NOT(AND(ISBLANK(B795),ISBLANK(C795)))), "Common", "")</f>
        <v/>
      </c>
    </row>
    <row r="796" customFormat="false" ht="15.75" hidden="false" customHeight="false" outlineLevel="0" collapsed="false">
      <c r="A796" s="3" t="s">
        <v>2744</v>
      </c>
      <c r="C796" s="3" t="s">
        <v>1803</v>
      </c>
      <c r="D796" s="4" t="str">
        <f aca="false">IF(AND(EXACT(B796,C796),NOT(AND(ISBLANK(B796),ISBLANK(C796)))), "Common", "")</f>
        <v/>
      </c>
    </row>
    <row r="797" customFormat="false" ht="15.75" hidden="false" customHeight="false" outlineLevel="0" collapsed="false">
      <c r="A797" s="3" t="s">
        <v>2744</v>
      </c>
      <c r="C797" s="3" t="s">
        <v>1775</v>
      </c>
      <c r="D797" s="4" t="str">
        <f aca="false">IF(AND(EXACT(B797,C797),NOT(AND(ISBLANK(B797),ISBLANK(C797)))), "Common", "")</f>
        <v/>
      </c>
    </row>
    <row r="798" customFormat="false" ht="15.75" hidden="false" customHeight="false" outlineLevel="0" collapsed="false">
      <c r="A798" s="3" t="s">
        <v>2744</v>
      </c>
      <c r="B798" s="3" t="s">
        <v>1799</v>
      </c>
      <c r="D798" s="4" t="str">
        <f aca="false">IF(AND(EXACT(B798,C798),NOT(AND(ISBLANK(B798),ISBLANK(C798)))), "Common", "")</f>
        <v/>
      </c>
    </row>
    <row r="799" customFormat="false" ht="15.75" hidden="false" customHeight="false" outlineLevel="0" collapsed="false">
      <c r="A799" s="3" t="s">
        <v>2744</v>
      </c>
      <c r="B799" s="3" t="s">
        <v>1883</v>
      </c>
      <c r="C799" s="3" t="s">
        <v>1883</v>
      </c>
      <c r="D799" s="4" t="str">
        <f aca="false">IF(AND(EXACT(B799,C799),NOT(AND(ISBLANK(B799),ISBLANK(C799)))), "Common", "")</f>
        <v>Common</v>
      </c>
    </row>
    <row r="800" customFormat="false" ht="15.75" hidden="false" customHeight="false" outlineLevel="0" collapsed="false">
      <c r="A800" s="3" t="s">
        <v>2744</v>
      </c>
      <c r="B800" s="3" t="s">
        <v>1884</v>
      </c>
      <c r="C800" s="3" t="s">
        <v>1884</v>
      </c>
      <c r="D800" s="4" t="str">
        <f aca="false">IF(AND(EXACT(B800,C800),NOT(AND(ISBLANK(B800),ISBLANK(C800)))), "Common", "")</f>
        <v>Common</v>
      </c>
    </row>
    <row r="801" customFormat="false" ht="15.75" hidden="false" customHeight="false" outlineLevel="0" collapsed="false">
      <c r="A801" s="3" t="s">
        <v>2744</v>
      </c>
      <c r="B801" s="3" t="s">
        <v>1957</v>
      </c>
      <c r="C801" s="3"/>
      <c r="D801" s="4" t="str">
        <f aca="false">IF(AND(EXACT(B801,C801),NOT(AND(ISBLANK(B801),ISBLANK(C801)))), "Common", "")</f>
        <v/>
      </c>
    </row>
    <row r="802" customFormat="false" ht="15.75" hidden="false" customHeight="false" outlineLevel="0" collapsed="false">
      <c r="A802" s="3" t="s">
        <v>2745</v>
      </c>
      <c r="B802" s="3" t="s">
        <v>1876</v>
      </c>
      <c r="C802" s="3" t="s">
        <v>1707</v>
      </c>
      <c r="D802" s="4" t="str">
        <f aca="false">IF(AND(EXACT(B802,C802),NOT(AND(ISBLANK(B802),ISBLANK(C802)))), "Common", "")</f>
        <v/>
      </c>
    </row>
    <row r="803" customFormat="false" ht="15.75" hidden="false" customHeight="false" outlineLevel="0" collapsed="false">
      <c r="A803" s="3" t="s">
        <v>2745</v>
      </c>
      <c r="B803" s="3" t="s">
        <v>1741</v>
      </c>
      <c r="C803" s="3" t="s">
        <v>1741</v>
      </c>
      <c r="D803" s="4" t="str">
        <f aca="false">IF(AND(EXACT(B803,C803),NOT(AND(ISBLANK(B803),ISBLANK(C803)))), "Common", "")</f>
        <v>Common</v>
      </c>
    </row>
    <row r="804" customFormat="false" ht="15.75" hidden="false" customHeight="false" outlineLevel="0" collapsed="false">
      <c r="A804" s="3" t="s">
        <v>2745</v>
      </c>
      <c r="B804" s="3" t="s">
        <v>1709</v>
      </c>
      <c r="C804" s="3" t="s">
        <v>1709</v>
      </c>
      <c r="D804" s="4" t="str">
        <f aca="false">IF(AND(EXACT(B804,C804),NOT(AND(ISBLANK(B804),ISBLANK(C804)))), "Common", "")</f>
        <v>Common</v>
      </c>
    </row>
    <row r="805" customFormat="false" ht="15.75" hidden="false" customHeight="false" outlineLevel="0" collapsed="false">
      <c r="A805" s="3" t="s">
        <v>2746</v>
      </c>
      <c r="B805" s="3"/>
      <c r="C805" s="3" t="s">
        <v>1776</v>
      </c>
      <c r="D805" s="4" t="str">
        <f aca="false">IF(AND(EXACT(B805,C805),NOT(AND(ISBLANK(B805),ISBLANK(C805)))), "Common", "")</f>
        <v/>
      </c>
    </row>
    <row r="806" customFormat="false" ht="15.75" hidden="false" customHeight="false" outlineLevel="0" collapsed="false">
      <c r="A806" s="3" t="s">
        <v>2746</v>
      </c>
      <c r="B806" s="3"/>
      <c r="C806" s="3" t="s">
        <v>1777</v>
      </c>
      <c r="D806" s="4" t="str">
        <f aca="false">IF(AND(EXACT(B806,C806),NOT(AND(ISBLANK(B806),ISBLANK(C806)))), "Common", "")</f>
        <v/>
      </c>
    </row>
    <row r="807" customFormat="false" ht="15.75" hidden="false" customHeight="false" outlineLevel="0" collapsed="false">
      <c r="A807" s="3" t="s">
        <v>2746</v>
      </c>
      <c r="B807" s="3"/>
      <c r="C807" s="3" t="s">
        <v>1944</v>
      </c>
      <c r="D807" s="4" t="str">
        <f aca="false">IF(AND(EXACT(B807,C807),NOT(AND(ISBLANK(B807),ISBLANK(C807)))), "Common", "")</f>
        <v/>
      </c>
    </row>
    <row r="808" customFormat="false" ht="15.75" hidden="false" customHeight="false" outlineLevel="0" collapsed="false">
      <c r="A808" s="3" t="s">
        <v>2747</v>
      </c>
      <c r="B808" s="3"/>
      <c r="C808" s="3" t="s">
        <v>2117</v>
      </c>
      <c r="D808" s="4" t="str">
        <f aca="false">IF(AND(EXACT(B808,C808),NOT(AND(ISBLANK(B808),ISBLANK(C808)))), "Common", "")</f>
        <v/>
      </c>
    </row>
    <row r="809" customFormat="false" ht="15.75" hidden="false" customHeight="false" outlineLevel="0" collapsed="false">
      <c r="A809" s="3" t="s">
        <v>290</v>
      </c>
      <c r="B809" s="3"/>
      <c r="C809" s="3" t="s">
        <v>1576</v>
      </c>
      <c r="D809" s="4" t="str">
        <f aca="false">IF(AND(EXACT(B809,C809),NOT(AND(ISBLANK(B809),ISBLANK(C809)))), "Common", "")</f>
        <v/>
      </c>
    </row>
    <row r="810" customFormat="false" ht="15.75" hidden="false" customHeight="false" outlineLevel="0" collapsed="false">
      <c r="A810" s="3" t="s">
        <v>290</v>
      </c>
      <c r="B810" s="3"/>
      <c r="C810" s="3" t="s">
        <v>1578</v>
      </c>
      <c r="D810" s="4" t="str">
        <f aca="false">IF(AND(EXACT(B810,C810),NOT(AND(ISBLANK(B810),ISBLANK(C810)))), "Common", "")</f>
        <v/>
      </c>
    </row>
    <row r="811" customFormat="false" ht="15.75" hidden="false" customHeight="false" outlineLevel="0" collapsed="false">
      <c r="A811" s="3" t="s">
        <v>289</v>
      </c>
      <c r="B811" s="3" t="s">
        <v>2248</v>
      </c>
      <c r="C811" s="3"/>
    </row>
    <row r="812" customFormat="false" ht="15.75" hidden="false" customHeight="false" outlineLevel="0" collapsed="false">
      <c r="A812" s="3" t="s">
        <v>291</v>
      </c>
      <c r="B812" s="3" t="s">
        <v>1686</v>
      </c>
      <c r="C812" s="3" t="s">
        <v>1686</v>
      </c>
      <c r="D812" s="4" t="str">
        <f aca="false">IF(AND(EXACT(B812,C812),NOT(AND(ISBLANK(B812),ISBLANK(C812)))), "Common", "")</f>
        <v>Common</v>
      </c>
    </row>
    <row r="813" customFormat="false" ht="15.75" hidden="false" customHeight="false" outlineLevel="0" collapsed="false">
      <c r="A813" s="3" t="s">
        <v>289</v>
      </c>
      <c r="B813" s="3"/>
      <c r="C813" s="3" t="s">
        <v>2436</v>
      </c>
    </row>
    <row r="814" customFormat="false" ht="15.75" hidden="false" customHeight="false" outlineLevel="0" collapsed="false">
      <c r="A814" s="3" t="s">
        <v>289</v>
      </c>
      <c r="B814" s="3"/>
      <c r="C814" s="3" t="s">
        <v>2438</v>
      </c>
    </row>
    <row r="815" customFormat="false" ht="15.75" hidden="false" customHeight="false" outlineLevel="0" collapsed="false">
      <c r="A815" s="3" t="s">
        <v>289</v>
      </c>
      <c r="B815" s="3"/>
      <c r="C815" s="3" t="s">
        <v>2440</v>
      </c>
    </row>
    <row r="816" customFormat="false" ht="15.75" hidden="false" customHeight="false" outlineLevel="0" collapsed="false">
      <c r="A816" s="3" t="s">
        <v>289</v>
      </c>
      <c r="B816" s="3" t="s">
        <v>1901</v>
      </c>
      <c r="D816" s="4" t="str">
        <f aca="false">IF(AND(EXACT(B816,C816),NOT(AND(ISBLANK(B816),ISBLANK(C816)))), "Common", "")</f>
        <v/>
      </c>
    </row>
    <row r="817" customFormat="false" ht="15.75" hidden="false" customHeight="false" outlineLevel="0" collapsed="false">
      <c r="A817" s="3" t="s">
        <v>289</v>
      </c>
      <c r="B817" s="3" t="s">
        <v>1945</v>
      </c>
      <c r="D817" s="4" t="str">
        <f aca="false">IF(AND(EXACT(B817,C817),NOT(AND(ISBLANK(B817),ISBLANK(C817)))), "Common", "")</f>
        <v/>
      </c>
    </row>
    <row r="818" customFormat="false" ht="15.75" hidden="false" customHeight="false" outlineLevel="0" collapsed="false">
      <c r="A818" s="3" t="s">
        <v>289</v>
      </c>
      <c r="B818" s="3" t="s">
        <v>2536</v>
      </c>
      <c r="D818" s="4" t="str">
        <f aca="false">IF(AND(EXACT(B818,C818),NOT(AND(ISBLANK(B818),ISBLANK(C818)))), "Common", "")</f>
        <v/>
      </c>
    </row>
    <row r="819" customFormat="false" ht="15.75" hidden="false" customHeight="false" outlineLevel="0" collapsed="false">
      <c r="A819" s="3" t="s">
        <v>289</v>
      </c>
      <c r="B819" s="3" t="s">
        <v>2183</v>
      </c>
      <c r="D819" s="4" t="str">
        <f aca="false">IF(AND(EXACT(B819,C819),NOT(AND(ISBLANK(B819),ISBLANK(C819)))), "Common", "")</f>
        <v/>
      </c>
    </row>
    <row r="820" customFormat="false" ht="15.75" hidden="false" customHeight="false" outlineLevel="0" collapsed="false">
      <c r="A820" s="3" t="s">
        <v>289</v>
      </c>
      <c r="B820" s="3" t="s">
        <v>2538</v>
      </c>
      <c r="C820" s="3" t="s">
        <v>2628</v>
      </c>
      <c r="D820" s="4" t="str">
        <f aca="false">IF(AND(EXACT(B820,C820),NOT(AND(ISBLANK(B820),ISBLANK(C820)))), "Common", "")</f>
        <v/>
      </c>
    </row>
    <row r="821" customFormat="false" ht="15.75" hidden="false" customHeight="false" outlineLevel="0" collapsed="false">
      <c r="A821" s="3" t="s">
        <v>289</v>
      </c>
      <c r="B821" s="3" t="s">
        <v>2539</v>
      </c>
      <c r="C821" s="3" t="s">
        <v>2539</v>
      </c>
      <c r="D821" s="4" t="str">
        <f aca="false">IF(AND(EXACT(B821,C821),NOT(AND(ISBLANK(B821),ISBLANK(C821)))), "Common", "")</f>
        <v>Common</v>
      </c>
    </row>
    <row r="822" customFormat="false" ht="15.75" hidden="false" customHeight="false" outlineLevel="0" collapsed="false">
      <c r="A822" s="3" t="s">
        <v>289</v>
      </c>
      <c r="B822" s="3" t="s">
        <v>2540</v>
      </c>
      <c r="D822" s="4" t="str">
        <f aca="false">IF(AND(EXACT(B822,C822),NOT(AND(ISBLANK(B822),ISBLANK(C822)))), "Common", "")</f>
        <v/>
      </c>
    </row>
    <row r="823" customFormat="false" ht="15.75" hidden="false" customHeight="false" outlineLevel="0" collapsed="false">
      <c r="A823" s="3" t="s">
        <v>289</v>
      </c>
      <c r="B823" s="3" t="s">
        <v>2542</v>
      </c>
      <c r="D823" s="4" t="str">
        <f aca="false">IF(AND(EXACT(B823,C823),NOT(AND(ISBLANK(B823),ISBLANK(C823)))), "Common", "")</f>
        <v/>
      </c>
    </row>
    <row r="824" customFormat="false" ht="15.75" hidden="false" customHeight="false" outlineLevel="0" collapsed="false">
      <c r="A824" s="3" t="s">
        <v>1204</v>
      </c>
      <c r="B824" s="3" t="s">
        <v>1696</v>
      </c>
      <c r="C824" s="3" t="s">
        <v>1696</v>
      </c>
      <c r="D824" s="4" t="str">
        <f aca="false">IF(AND(EXACT(B824,C824),NOT(AND(ISBLANK(B824),ISBLANK(C824)))), "Common", "")</f>
        <v>Common</v>
      </c>
    </row>
    <row r="825" customFormat="false" ht="15.75" hidden="false" customHeight="false" outlineLevel="0" collapsed="false">
      <c r="A825" s="3" t="s">
        <v>2748</v>
      </c>
      <c r="B825" s="3" t="s">
        <v>2128</v>
      </c>
      <c r="D825" s="4" t="str">
        <f aca="false">IF(AND(EXACT(B825,C825),NOT(AND(ISBLANK(B825),ISBLANK(C825)))), "Common", "")</f>
        <v/>
      </c>
    </row>
    <row r="826" customFormat="false" ht="15.75" hidden="false" customHeight="false" outlineLevel="0" collapsed="false">
      <c r="A826" s="3" t="s">
        <v>289</v>
      </c>
      <c r="B826" s="3" t="s">
        <v>2246</v>
      </c>
      <c r="D826" s="4" t="str">
        <f aca="false">IF(AND(EXACT(B826,C826),NOT(AND(ISBLANK(B826),ISBLANK(C826)))), "Common", "")</f>
        <v/>
      </c>
    </row>
    <row r="827" customFormat="false" ht="15.75" hidden="false" customHeight="false" outlineLevel="0" collapsed="false">
      <c r="A827" s="3" t="s">
        <v>289</v>
      </c>
      <c r="B827" s="3" t="s">
        <v>2258</v>
      </c>
      <c r="C827" s="3" t="s">
        <v>2258</v>
      </c>
      <c r="D827" s="4" t="str">
        <f aca="false">IF(AND(EXACT(B827,C827),NOT(AND(ISBLANK(B827),ISBLANK(C827)))), "Common", "")</f>
        <v>Common</v>
      </c>
    </row>
    <row r="828" customFormat="false" ht="15.75" hidden="false" customHeight="false" outlineLevel="0" collapsed="false">
      <c r="A828" s="3" t="s">
        <v>289</v>
      </c>
      <c r="B828" s="3" t="s">
        <v>2522</v>
      </c>
      <c r="C828" s="3" t="s">
        <v>2522</v>
      </c>
      <c r="D828" s="4" t="str">
        <f aca="false">IF(AND(EXACT(B828,C828),NOT(AND(ISBLANK(B828),ISBLANK(C828)))), "Common", "")</f>
        <v>Common</v>
      </c>
    </row>
    <row r="829" customFormat="false" ht="15.75" hidden="false" customHeight="false" outlineLevel="0" collapsed="false">
      <c r="A829" s="3" t="s">
        <v>289</v>
      </c>
      <c r="B829" s="3"/>
      <c r="C829" s="3" t="s">
        <v>1754</v>
      </c>
      <c r="D829" s="4" t="str">
        <f aca="false">IF(AND(EXACT(B829,C829),NOT(AND(ISBLANK(B829),ISBLANK(C829)))), "Common", "")</f>
        <v/>
      </c>
    </row>
    <row r="830" customFormat="false" ht="15.75" hidden="false" customHeight="false" outlineLevel="0" collapsed="false">
      <c r="A830" s="3" t="s">
        <v>289</v>
      </c>
      <c r="B830" s="3" t="s">
        <v>1891</v>
      </c>
      <c r="C830" s="3" t="s">
        <v>1759</v>
      </c>
      <c r="D830" s="4" t="str">
        <f aca="false">IF(AND(EXACT(B830,C830),NOT(AND(ISBLANK(B830),ISBLANK(C830)))), "Common", "")</f>
        <v/>
      </c>
    </row>
    <row r="831" customFormat="false" ht="15.75" hidden="false" customHeight="false" outlineLevel="0" collapsed="false">
      <c r="A831" s="3" t="s">
        <v>1204</v>
      </c>
      <c r="B831" s="3" t="s">
        <v>1761</v>
      </c>
      <c r="C831" s="3" t="s">
        <v>1761</v>
      </c>
      <c r="D831" s="4" t="str">
        <f aca="false">IF(AND(EXACT(B831,C831),NOT(AND(ISBLANK(B831),ISBLANK(C831)))), "Common", "")</f>
        <v>Common</v>
      </c>
    </row>
    <row r="832" customFormat="false" ht="15.75" hidden="false" customHeight="false" outlineLevel="0" collapsed="false">
      <c r="A832" s="3" t="s">
        <v>289</v>
      </c>
      <c r="B832" s="3"/>
      <c r="C832" s="3" t="s">
        <v>1780</v>
      </c>
      <c r="D832" s="4" t="str">
        <f aca="false">IF(AND(EXACT(B832,C832),NOT(AND(ISBLANK(B832),ISBLANK(C832)))), "Common", "")</f>
        <v/>
      </c>
    </row>
    <row r="833" customFormat="false" ht="15.75" hidden="false" customHeight="false" outlineLevel="0" collapsed="false">
      <c r="A833" s="3" t="s">
        <v>289</v>
      </c>
      <c r="B833" s="3" t="s">
        <v>1782</v>
      </c>
      <c r="C833" s="3" t="s">
        <v>1782</v>
      </c>
      <c r="D833" s="4" t="str">
        <f aca="false">IF(AND(EXACT(B833,C833),NOT(AND(ISBLANK(B833),ISBLANK(C833)))), "Common", "")</f>
        <v>Common</v>
      </c>
    </row>
    <row r="834" customFormat="false" ht="15.75" hidden="false" customHeight="false" outlineLevel="0" collapsed="false">
      <c r="A834" s="4"/>
    </row>
    <row r="835" customFormat="false" ht="15.75" hidden="false" customHeight="false" outlineLevel="0" collapsed="false">
      <c r="A835" s="3" t="s">
        <v>289</v>
      </c>
      <c r="C835" s="3" t="s">
        <v>2629</v>
      </c>
      <c r="D835" s="4" t="str">
        <f aca="false">IF(AND(EXACT(B835,C835),NOT(AND(ISBLANK(B835),ISBLANK(C835)))), "Common", "")</f>
        <v/>
      </c>
    </row>
    <row r="836" customFormat="false" ht="15.75" hidden="false" customHeight="false" outlineLevel="0" collapsed="false">
      <c r="A836" s="3" t="s">
        <v>291</v>
      </c>
      <c r="B836" s="3" t="s">
        <v>1716</v>
      </c>
      <c r="D836" s="4" t="str">
        <f aca="false">IF(AND(EXACT(B836,C836),NOT(AND(ISBLANK(B836),ISBLANK(C836)))), "Common", "")</f>
        <v/>
      </c>
    </row>
    <row r="837" customFormat="false" ht="15.75" hidden="false" customHeight="false" outlineLevel="0" collapsed="false">
      <c r="A837" s="3" t="s">
        <v>291</v>
      </c>
      <c r="C837" s="3" t="s">
        <v>1670</v>
      </c>
      <c r="D837" s="4" t="str">
        <f aca="false">IF(AND(EXACT(B837,C837),NOT(AND(ISBLANK(B837),ISBLANK(C837)))), "Common", "")</f>
        <v/>
      </c>
    </row>
    <row r="838" customFormat="false" ht="15.75" hidden="false" customHeight="false" outlineLevel="0" collapsed="false">
      <c r="A838" s="3" t="s">
        <v>291</v>
      </c>
      <c r="B838" s="3" t="s">
        <v>1526</v>
      </c>
      <c r="C838" s="3"/>
      <c r="D838" s="4" t="str">
        <f aca="false">IF(AND(EXACT(B838,C838),NOT(AND(ISBLANK(B838),ISBLANK(C838)))), "Common", "")</f>
        <v/>
      </c>
    </row>
    <row r="839" customFormat="false" ht="15.75" hidden="false" customHeight="false" outlineLevel="0" collapsed="false">
      <c r="A839" s="3" t="s">
        <v>291</v>
      </c>
      <c r="B839" s="3" t="s">
        <v>411</v>
      </c>
      <c r="C839" s="3" t="s">
        <v>411</v>
      </c>
      <c r="D839" s="4" t="str">
        <f aca="false">IF(AND(EXACT(B839,C839),NOT(AND(ISBLANK(B839),ISBLANK(C839)))), "Common", "")</f>
        <v>Common</v>
      </c>
    </row>
    <row r="840" customFormat="false" ht="15.75" hidden="false" customHeight="false" outlineLevel="0" collapsed="false">
      <c r="A840" s="3" t="s">
        <v>1204</v>
      </c>
      <c r="B840" s="3" t="s">
        <v>1871</v>
      </c>
      <c r="C840" s="3" t="s">
        <v>1871</v>
      </c>
      <c r="D840" s="4" t="str">
        <f aca="false">IF(AND(EXACT(B840,C840),NOT(AND(ISBLANK(B840),ISBLANK(C840)))), "Common", "")</f>
        <v>Common</v>
      </c>
    </row>
    <row r="841" customFormat="false" ht="15.75" hidden="false" customHeight="false" outlineLevel="0" collapsed="false">
      <c r="A841" s="3" t="s">
        <v>1204</v>
      </c>
      <c r="B841" s="3" t="s">
        <v>1872</v>
      </c>
      <c r="C841" s="3" t="s">
        <v>1872</v>
      </c>
      <c r="D841" s="4" t="str">
        <f aca="false">IF(AND(EXACT(B841,C841),NOT(AND(ISBLANK(B841),ISBLANK(C841)))), "Common", "")</f>
        <v>Common</v>
      </c>
    </row>
    <row r="842" customFormat="false" ht="15.75" hidden="false" customHeight="false" outlineLevel="0" collapsed="false">
      <c r="A842" s="3" t="s">
        <v>1204</v>
      </c>
      <c r="B842" s="3" t="s">
        <v>1533</v>
      </c>
      <c r="C842" s="3" t="s">
        <v>1533</v>
      </c>
    </row>
    <row r="843" customFormat="false" ht="15.75" hidden="false" customHeight="false" outlineLevel="0" collapsed="false">
      <c r="A843" s="3" t="s">
        <v>1204</v>
      </c>
      <c r="C843" s="3" t="s">
        <v>1535</v>
      </c>
    </row>
    <row r="844" customFormat="false" ht="15.75" hidden="false" customHeight="false" outlineLevel="0" collapsed="false">
      <c r="A844" s="3" t="s">
        <v>1204</v>
      </c>
      <c r="C844" s="3" t="s">
        <v>1537</v>
      </c>
    </row>
    <row r="845" customFormat="false" ht="15.75" hidden="false" customHeight="false" outlineLevel="0" collapsed="false">
      <c r="A845" s="3" t="s">
        <v>2749</v>
      </c>
      <c r="B845" s="3" t="s">
        <v>1834</v>
      </c>
      <c r="C845" s="3"/>
      <c r="D845" s="4" t="str">
        <f aca="false">IF(AND(EXACT(B845,C845),NOT(AND(ISBLANK(B845),ISBLANK(C845)))), "Common", "")</f>
        <v/>
      </c>
    </row>
    <row r="846" customFormat="false" ht="15.75" hidden="false" customHeight="false" outlineLevel="0" collapsed="false">
      <c r="A846" s="3" t="s">
        <v>2748</v>
      </c>
      <c r="B846" s="3" t="s">
        <v>1953</v>
      </c>
      <c r="C846" s="3"/>
      <c r="D846" s="4" t="str">
        <f aca="false">IF(AND(EXACT(B846,C846),NOT(AND(ISBLANK(B846),ISBLANK(C846)))), "Common", "")</f>
        <v/>
      </c>
    </row>
    <row r="847" customFormat="false" ht="15.75" hidden="false" customHeight="false" outlineLevel="0" collapsed="false">
      <c r="A847" s="3" t="s">
        <v>2748</v>
      </c>
      <c r="B847" s="3" t="s">
        <v>1750</v>
      </c>
      <c r="C847" s="3" t="s">
        <v>1750</v>
      </c>
      <c r="D847" s="4" t="str">
        <f aca="false">IF(AND(EXACT(B847,C847),NOT(AND(ISBLANK(B847),ISBLANK(C847)))), "Common", "")</f>
        <v>Common</v>
      </c>
    </row>
    <row r="848" customFormat="false" ht="15.75" hidden="false" customHeight="false" outlineLevel="0" collapsed="false">
      <c r="A848" s="3" t="s">
        <v>2748</v>
      </c>
      <c r="B848" s="3" t="s">
        <v>1753</v>
      </c>
      <c r="C848" s="3" t="s">
        <v>1753</v>
      </c>
      <c r="D848" s="4" t="str">
        <f aca="false">IF(AND(EXACT(B848,C848),NOT(AND(ISBLANK(B848),ISBLANK(C848)))), "Common", "")</f>
        <v>Common</v>
      </c>
    </row>
    <row r="849" customFormat="false" ht="15.75" hidden="false" customHeight="false" outlineLevel="0" collapsed="false">
      <c r="A849" s="3" t="s">
        <v>2750</v>
      </c>
      <c r="B849" s="3" t="s">
        <v>2191</v>
      </c>
      <c r="D849" s="4" t="str">
        <f aca="false">IF(AND(EXACT(B849,C849),NOT(AND(ISBLANK(B849),ISBLANK(C849)))), "Common", "")</f>
        <v/>
      </c>
    </row>
    <row r="850" customFormat="false" ht="15.75" hidden="false" customHeight="false" outlineLevel="0" collapsed="false">
      <c r="A850" s="3" t="s">
        <v>674</v>
      </c>
      <c r="B850" s="3" t="s">
        <v>1816</v>
      </c>
      <c r="C850" s="3" t="s">
        <v>2121</v>
      </c>
      <c r="D850" s="4" t="str">
        <f aca="false">IF(AND(EXACT(B850,C850),NOT(AND(ISBLANK(B850),ISBLANK(C850)))), "Common", "")</f>
        <v/>
      </c>
    </row>
    <row r="851" customFormat="false" ht="15.75" hidden="false" customHeight="false" outlineLevel="0" collapsed="false">
      <c r="A851" s="3" t="s">
        <v>674</v>
      </c>
      <c r="B851" s="3" t="s">
        <v>2244</v>
      </c>
      <c r="C851" s="3" t="s">
        <v>2244</v>
      </c>
      <c r="D851" s="4" t="str">
        <f aca="false">IF(AND(EXACT(B851,C851),NOT(AND(ISBLANK(B851),ISBLANK(C851)))), "Common", "")</f>
        <v>Common</v>
      </c>
    </row>
    <row r="852" customFormat="false" ht="15.75" hidden="false" customHeight="false" outlineLevel="0" collapsed="false">
      <c r="A852" s="3" t="s">
        <v>2751</v>
      </c>
      <c r="B852" s="3" t="s">
        <v>2427</v>
      </c>
      <c r="C852" s="3" t="s">
        <v>2427</v>
      </c>
      <c r="D852" s="4" t="str">
        <f aca="false">IF(AND(EXACT(B852,C852),NOT(AND(ISBLANK(B852),ISBLANK(C852)))), "Common", "")</f>
        <v>Common</v>
      </c>
    </row>
    <row r="853" customFormat="false" ht="15.75" hidden="false" customHeight="false" outlineLevel="0" collapsed="false">
      <c r="A853" s="3" t="s">
        <v>679</v>
      </c>
      <c r="C853" s="3" t="s">
        <v>2123</v>
      </c>
      <c r="D853" s="4" t="str">
        <f aca="false">IF(AND(EXACT(B853,C853),NOT(AND(ISBLANK(B853),ISBLANK(C853)))), "Common", "")</f>
        <v/>
      </c>
    </row>
    <row r="854" customFormat="false" ht="15.75" hidden="false" customHeight="false" outlineLevel="0" collapsed="false">
      <c r="A854" s="3" t="s">
        <v>679</v>
      </c>
      <c r="B854" s="3" t="s">
        <v>2537</v>
      </c>
      <c r="C854" s="3" t="s">
        <v>2537</v>
      </c>
    </row>
    <row r="855" customFormat="false" ht="15.75" hidden="false" customHeight="false" outlineLevel="0" collapsed="false">
      <c r="A855" s="3" t="s">
        <v>680</v>
      </c>
      <c r="B855" s="3"/>
      <c r="C855" s="3" t="s">
        <v>1969</v>
      </c>
      <c r="D855" s="4" t="str">
        <f aca="false">IF(AND(EXACT(B855,C855),NOT(AND(ISBLANK(B855),ISBLANK(C855)))), "Common", "")</f>
        <v/>
      </c>
    </row>
    <row r="856" customFormat="false" ht="15.75" hidden="false" customHeight="false" outlineLevel="0" collapsed="false">
      <c r="A856" s="3" t="s">
        <v>680</v>
      </c>
      <c r="B856" s="3" t="s">
        <v>2415</v>
      </c>
      <c r="C856" s="3" t="s">
        <v>2415</v>
      </c>
      <c r="D856" s="4" t="str">
        <f aca="false">IF(AND(EXACT(B856,C856),NOT(AND(ISBLANK(B856),ISBLANK(C856)))), "Common", "")</f>
        <v>Common</v>
      </c>
    </row>
    <row r="857" customFormat="false" ht="15.75" hidden="false" customHeight="false" outlineLevel="0" collapsed="false">
      <c r="A857" s="3" t="s">
        <v>680</v>
      </c>
      <c r="B857" s="3" t="s">
        <v>1491</v>
      </c>
      <c r="C857" s="3"/>
    </row>
    <row r="858" customFormat="false" ht="15.75" hidden="false" customHeight="false" outlineLevel="0" collapsed="false">
      <c r="A858" s="3" t="s">
        <v>680</v>
      </c>
      <c r="B858" s="3" t="s">
        <v>2122</v>
      </c>
      <c r="C858" s="3"/>
    </row>
    <row r="859" customFormat="false" ht="15.75" hidden="false" customHeight="false" outlineLevel="0" collapsed="false">
      <c r="A859" s="3" t="s">
        <v>2752</v>
      </c>
      <c r="B859" s="3" t="s">
        <v>1806</v>
      </c>
      <c r="C859" s="3" t="s">
        <v>1806</v>
      </c>
      <c r="D859" s="4" t="str">
        <f aca="false">IF(AND(EXACT(B859,C859),NOT(AND(ISBLANK(B859),ISBLANK(C859)))), "Common", "")</f>
        <v>Common</v>
      </c>
    </row>
    <row r="860" customFormat="false" ht="15.75" hidden="false" customHeight="false" outlineLevel="0" collapsed="false">
      <c r="A860" s="3" t="s">
        <v>2752</v>
      </c>
      <c r="B860" s="3" t="s">
        <v>1808</v>
      </c>
      <c r="C860" s="3" t="s">
        <v>1808</v>
      </c>
      <c r="D860" s="4" t="str">
        <f aca="false">IF(AND(EXACT(B860,C860),NOT(AND(ISBLANK(B860),ISBLANK(C860)))), "Common", "")</f>
        <v>Common</v>
      </c>
    </row>
    <row r="861" customFormat="false" ht="15.75" hidden="false" customHeight="false" outlineLevel="0" collapsed="false">
      <c r="A861" s="3" t="s">
        <v>2753</v>
      </c>
      <c r="B861" s="3"/>
      <c r="C861" s="3" t="s">
        <v>2300</v>
      </c>
    </row>
    <row r="862" customFormat="false" ht="15.75" hidden="false" customHeight="false" outlineLevel="0" collapsed="false">
      <c r="A862" s="3" t="s">
        <v>2753</v>
      </c>
      <c r="B862" s="3" t="s">
        <v>1797</v>
      </c>
      <c r="C862" s="3" t="s">
        <v>1881</v>
      </c>
      <c r="D862" s="4" t="str">
        <f aca="false">IF(AND(EXACT(B862,C862),NOT(AND(ISBLANK(B862),ISBLANK(C862)))), "Common", "")</f>
        <v/>
      </c>
    </row>
    <row r="863" customFormat="false" ht="15.75" hidden="false" customHeight="false" outlineLevel="0" collapsed="false">
      <c r="A863" s="3" t="s">
        <v>2754</v>
      </c>
      <c r="C863" s="3" t="s">
        <v>1846</v>
      </c>
      <c r="D863" s="4" t="str">
        <f aca="false">IF(AND(EXACT(B863,C863),NOT(AND(ISBLANK(B863),ISBLANK(C863)))), "Common", "")</f>
        <v/>
      </c>
    </row>
    <row r="864" customFormat="false" ht="15.75" hidden="false" customHeight="false" outlineLevel="0" collapsed="false">
      <c r="A864" s="3" t="s">
        <v>2755</v>
      </c>
      <c r="B864" s="3" t="s">
        <v>1858</v>
      </c>
      <c r="D864" s="4" t="str">
        <f aca="false">IF(AND(EXACT(B864,C864),NOT(AND(ISBLANK(B864),ISBLANK(C864)))), "Common", "")</f>
        <v/>
      </c>
    </row>
    <row r="865" customFormat="false" ht="15.75" hidden="false" customHeight="false" outlineLevel="0" collapsed="false">
      <c r="A865" s="3" t="s">
        <v>2756</v>
      </c>
      <c r="C865" s="3" t="s">
        <v>1882</v>
      </c>
      <c r="D865" s="4" t="str">
        <f aca="false">IF(AND(EXACT(B865,C865),NOT(AND(ISBLANK(B865),ISBLANK(C865)))), "Common", "")</f>
        <v/>
      </c>
    </row>
    <row r="866" customFormat="false" ht="15.75" hidden="false" customHeight="false" outlineLevel="0" collapsed="false">
      <c r="A866" s="3" t="s">
        <v>295</v>
      </c>
      <c r="C866" s="3" t="s">
        <v>2011</v>
      </c>
      <c r="D866" s="4" t="str">
        <f aca="false">IF(AND(EXACT(B866,C866),NOT(AND(ISBLANK(B866),ISBLANK(C866)))), "Common", "")</f>
        <v/>
      </c>
    </row>
    <row r="867" customFormat="false" ht="15.75" hidden="false" customHeight="false" outlineLevel="0" collapsed="false">
      <c r="A867" s="3" t="s">
        <v>297</v>
      </c>
      <c r="B867" s="3" t="s">
        <v>2532</v>
      </c>
      <c r="D867" s="4" t="str">
        <f aca="false">IF(AND(EXACT(B867,C867),NOT(AND(ISBLANK(B867),ISBLANK(C867)))), "Common", "")</f>
        <v/>
      </c>
    </row>
    <row r="868" customFormat="false" ht="15.75" hidden="false" customHeight="false" outlineLevel="0" collapsed="false">
      <c r="A868" s="3" t="s">
        <v>297</v>
      </c>
      <c r="C868" s="3" t="s">
        <v>2612</v>
      </c>
      <c r="D868" s="4" t="str">
        <f aca="false">IF(AND(EXACT(B868,C868),NOT(AND(ISBLANK(B868),ISBLANK(C868)))), "Common", "")</f>
        <v/>
      </c>
    </row>
    <row r="869" customFormat="false" ht="15.75" hidden="false" customHeight="false" outlineLevel="0" collapsed="false">
      <c r="A869" s="3"/>
      <c r="D869" s="4" t="str">
        <f aca="false">IF(AND(EXACT(B869,C869),NOT(AND(ISBLANK(B869),ISBLANK(C869)))), "Common", "")</f>
        <v/>
      </c>
    </row>
    <row r="870" customFormat="false" ht="15.75" hidden="false" customHeight="false" outlineLevel="0" collapsed="false">
      <c r="A870" s="3" t="s">
        <v>2757</v>
      </c>
      <c r="D870" s="4" t="str">
        <f aca="false">IF(AND(EXACT(B870,C870),NOT(AND(ISBLANK(B870),ISBLANK(C870)))), "Common", "")</f>
        <v/>
      </c>
    </row>
    <row r="871" customFormat="false" ht="15.75" hidden="false" customHeight="false" outlineLevel="0" collapsed="false">
      <c r="A871" s="3"/>
      <c r="D871" s="4" t="str">
        <f aca="false">IF(AND(EXACT(B871,C871),NOT(AND(ISBLANK(B871),ISBLANK(C871)))), "Common", "")</f>
        <v/>
      </c>
    </row>
    <row r="872" customFormat="false" ht="15.75" hidden="false" customHeight="false" outlineLevel="0" collapsed="false">
      <c r="A872" s="3"/>
      <c r="D872" s="4" t="str">
        <f aca="false">IF(AND(EXACT(B872,C872),NOT(AND(ISBLANK(B872),ISBLANK(C872)))), "Common", "")</f>
        <v/>
      </c>
    </row>
    <row r="873" customFormat="false" ht="15.75" hidden="false" customHeight="false" outlineLevel="0" collapsed="false">
      <c r="A873" s="4"/>
      <c r="D873" s="4" t="str">
        <f aca="false">IF(AND(EXACT(B873,C873),NOT(AND(ISBLANK(B873),ISBLANK(C873)))), "Common", "")</f>
        <v/>
      </c>
    </row>
    <row r="874" customFormat="false" ht="15.75" hidden="false" customHeight="false" outlineLevel="0" collapsed="false">
      <c r="A874" s="3" t="s">
        <v>2758</v>
      </c>
      <c r="B874" s="3" t="s">
        <v>2463</v>
      </c>
      <c r="D874" s="4" t="str">
        <f aca="false">IF(AND(EXACT(B874,C874),NOT(AND(ISBLANK(B874),ISBLANK(C874)))), "Common", "")</f>
        <v/>
      </c>
    </row>
    <row r="875" customFormat="false" ht="15.75" hidden="false" customHeight="false" outlineLevel="0" collapsed="false">
      <c r="A875" s="3" t="s">
        <v>2759</v>
      </c>
      <c r="B875" s="3" t="s">
        <v>2102</v>
      </c>
      <c r="C875" s="3"/>
      <c r="D875" s="4" t="str">
        <f aca="false">IF(AND(EXACT(B875,C875),NOT(AND(ISBLANK(B875),ISBLANK(C875)))), "Common", "")</f>
        <v/>
      </c>
    </row>
    <row r="876" customFormat="false" ht="15.75" hidden="false" customHeight="false" outlineLevel="0" collapsed="false">
      <c r="A876" s="3" t="s">
        <v>2760</v>
      </c>
      <c r="B876" s="3"/>
      <c r="C876" s="3" t="s">
        <v>1721</v>
      </c>
      <c r="D876" s="4" t="str">
        <f aca="false">IF(AND(EXACT(B876,C876),NOT(AND(ISBLANK(B876),ISBLANK(C876)))), "Common", "")</f>
        <v/>
      </c>
    </row>
    <row r="877" customFormat="false" ht="15.75" hidden="false" customHeight="false" outlineLevel="0" collapsed="false">
      <c r="A877" s="3" t="s">
        <v>2761</v>
      </c>
      <c r="B877" s="3" t="s">
        <v>2104</v>
      </c>
      <c r="C877" s="3"/>
      <c r="D877" s="4" t="str">
        <f aca="false">IF(AND(EXACT(B877,C877),NOT(AND(ISBLANK(B877),ISBLANK(C877)))), "Common", "")</f>
        <v/>
      </c>
    </row>
    <row r="878" customFormat="false" ht="15.75" hidden="false" customHeight="false" outlineLevel="0" collapsed="false">
      <c r="A878" s="3" t="s">
        <v>2761</v>
      </c>
      <c r="B878" s="3" t="s">
        <v>1503</v>
      </c>
      <c r="C878" s="3"/>
      <c r="D878" s="4" t="str">
        <f aca="false">IF(AND(EXACT(B878,C878),NOT(AND(ISBLANK(B878),ISBLANK(C878)))), "Common", "")</f>
        <v/>
      </c>
    </row>
    <row r="879" customFormat="false" ht="15.75" hidden="false" customHeight="false" outlineLevel="0" collapsed="false">
      <c r="A879" s="3" t="s">
        <v>655</v>
      </c>
      <c r="B879" s="3" t="s">
        <v>1550</v>
      </c>
      <c r="C879" s="3" t="s">
        <v>1550</v>
      </c>
      <c r="D879" s="4" t="str">
        <f aca="false">IF(AND(EXACT(B879,C879),NOT(AND(ISBLANK(B879),ISBLANK(C879)))), "Common", "")</f>
        <v>Common</v>
      </c>
    </row>
    <row r="880" customFormat="false" ht="15.75" hidden="false" customHeight="false" outlineLevel="0" collapsed="false">
      <c r="A880" s="3" t="s">
        <v>655</v>
      </c>
      <c r="B880" s="3" t="s">
        <v>1728</v>
      </c>
      <c r="D880" s="4" t="str">
        <f aca="false">IF(AND(EXACT(B880,C880),NOT(AND(ISBLANK(B880),ISBLANK(C880)))), "Common", "")</f>
        <v/>
      </c>
    </row>
    <row r="881" customFormat="false" ht="15.75" hidden="false" customHeight="false" outlineLevel="0" collapsed="false">
      <c r="A881" s="3" t="s">
        <v>656</v>
      </c>
      <c r="B881" s="3" t="s">
        <v>2228</v>
      </c>
      <c r="C881" s="3" t="s">
        <v>1738</v>
      </c>
      <c r="D881" s="4" t="str">
        <f aca="false">IF(AND(EXACT(B881,C881),NOT(AND(ISBLANK(B881),ISBLANK(C881)))), "Common", "")</f>
        <v/>
      </c>
    </row>
    <row r="882" customFormat="false" ht="15.75" hidden="false" customHeight="false" outlineLevel="0" collapsed="false">
      <c r="A882" s="3" t="s">
        <v>656</v>
      </c>
      <c r="B882" s="3"/>
      <c r="C882" s="3" t="s">
        <v>1739</v>
      </c>
      <c r="D882" s="4" t="str">
        <f aca="false">IF(AND(EXACT(B882,C882),NOT(AND(ISBLANK(B882),ISBLANK(C882)))), "Common", "")</f>
        <v/>
      </c>
    </row>
    <row r="883" customFormat="false" ht="15.75" hidden="false" customHeight="false" outlineLevel="0" collapsed="false">
      <c r="A883" s="3" t="s">
        <v>656</v>
      </c>
      <c r="B883" s="3" t="s">
        <v>1989</v>
      </c>
      <c r="C883" s="3" t="s">
        <v>1989</v>
      </c>
      <c r="D883" s="4" t="str">
        <f aca="false">IF(AND(EXACT(B883,C883),NOT(AND(ISBLANK(B883),ISBLANK(C883)))), "Common", "")</f>
        <v>Common</v>
      </c>
    </row>
    <row r="884" customFormat="false" ht="15.75" hidden="false" customHeight="false" outlineLevel="0" collapsed="false">
      <c r="A884" s="3" t="s">
        <v>656</v>
      </c>
      <c r="B884" s="3" t="s">
        <v>2001</v>
      </c>
      <c r="C884" s="3" t="s">
        <v>2001</v>
      </c>
      <c r="D884" s="4" t="str">
        <f aca="false">IF(AND(EXACT(B884,C884),NOT(AND(ISBLANK(B884),ISBLANK(C884)))), "Common", "")</f>
        <v>Common</v>
      </c>
    </row>
    <row r="885" customFormat="false" ht="15.75" hidden="false" customHeight="false" outlineLevel="0" collapsed="false">
      <c r="A885" s="3" t="s">
        <v>656</v>
      </c>
      <c r="B885" s="3" t="s">
        <v>2005</v>
      </c>
      <c r="C885" s="3" t="s">
        <v>2005</v>
      </c>
      <c r="D885" s="4" t="str">
        <f aca="false">IF(AND(EXACT(B885,C885),NOT(AND(ISBLANK(B885),ISBLANK(C885)))), "Common", "")</f>
        <v>Common</v>
      </c>
    </row>
    <row r="886" customFormat="false" ht="15.75" hidden="false" customHeight="false" outlineLevel="0" collapsed="false">
      <c r="A886" s="3" t="s">
        <v>656</v>
      </c>
      <c r="C886" s="3" t="s">
        <v>1987</v>
      </c>
      <c r="D886" s="4" t="str">
        <f aca="false">IF(AND(EXACT(B886,C886),NOT(AND(ISBLANK(B886),ISBLANK(C886)))), "Common", "")</f>
        <v/>
      </c>
    </row>
    <row r="887" customFormat="false" ht="15.75" hidden="false" customHeight="false" outlineLevel="0" collapsed="false">
      <c r="A887" s="3" t="s">
        <v>656</v>
      </c>
      <c r="C887" s="3" t="s">
        <v>1990</v>
      </c>
      <c r="D887" s="4" t="str">
        <f aca="false">IF(AND(EXACT(B887,C887),NOT(AND(ISBLANK(B887),ISBLANK(C887)))), "Common", "")</f>
        <v/>
      </c>
    </row>
    <row r="888" customFormat="false" ht="15.75" hidden="false" customHeight="false" outlineLevel="0" collapsed="false">
      <c r="A888" s="3" t="s">
        <v>656</v>
      </c>
      <c r="C888" s="3" t="s">
        <v>2004</v>
      </c>
      <c r="D888" s="4" t="str">
        <f aca="false">IF(AND(EXACT(B888,C888),NOT(AND(ISBLANK(B888),ISBLANK(C888)))), "Common", "")</f>
        <v/>
      </c>
    </row>
    <row r="889" customFormat="false" ht="15.75" hidden="false" customHeight="false" outlineLevel="0" collapsed="false">
      <c r="A889" s="3" t="s">
        <v>656</v>
      </c>
      <c r="B889" s="3" t="s">
        <v>2100</v>
      </c>
      <c r="D889" s="4" t="str">
        <f aca="false">IF(AND(EXACT(B889,C889),NOT(AND(ISBLANK(B889),ISBLANK(C889)))), "Common", "")</f>
        <v/>
      </c>
    </row>
    <row r="890" customFormat="false" ht="15.75" hidden="false" customHeight="false" outlineLevel="0" collapsed="false">
      <c r="A890" s="3" t="s">
        <v>656</v>
      </c>
      <c r="B890" s="3" t="s">
        <v>2113</v>
      </c>
      <c r="D890" s="4" t="str">
        <f aca="false">IF(AND(EXACT(B890,C890),NOT(AND(ISBLANK(B890),ISBLANK(C890)))), "Common", "")</f>
        <v/>
      </c>
    </row>
    <row r="891" customFormat="false" ht="15.75" hidden="false" customHeight="false" outlineLevel="0" collapsed="false">
      <c r="A891" s="3" t="s">
        <v>656</v>
      </c>
      <c r="C891" s="3" t="s">
        <v>1965</v>
      </c>
      <c r="D891" s="4" t="str">
        <f aca="false">IF(AND(EXACT(B891,C891),NOT(AND(ISBLANK(B891),ISBLANK(C891)))), "Common", "")</f>
        <v/>
      </c>
    </row>
    <row r="892" customFormat="false" ht="15.75" hidden="false" customHeight="false" outlineLevel="0" collapsed="false">
      <c r="A892" s="3" t="s">
        <v>2762</v>
      </c>
      <c r="B892" s="3"/>
      <c r="C892" s="3" t="s">
        <v>2015</v>
      </c>
      <c r="D892" s="4" t="str">
        <f aca="false">IF(AND(EXACT(B892,C892),NOT(AND(ISBLANK(B892),ISBLANK(C892)))), "Common", "")</f>
        <v/>
      </c>
    </row>
    <row r="893" customFormat="false" ht="15.75" hidden="false" customHeight="false" outlineLevel="0" collapsed="false">
      <c r="A893" s="3" t="s">
        <v>2762</v>
      </c>
      <c r="B893" s="3" t="s">
        <v>2140</v>
      </c>
      <c r="D893" s="4" t="str">
        <f aca="false">IF(AND(EXACT(B893,C893),NOT(AND(ISBLANK(B893),ISBLANK(C893)))), "Common", "")</f>
        <v/>
      </c>
    </row>
    <row r="894" customFormat="false" ht="15.75" hidden="false" customHeight="false" outlineLevel="0" collapsed="false">
      <c r="A894" s="3" t="s">
        <v>656</v>
      </c>
      <c r="B894" s="3" t="s">
        <v>2270</v>
      </c>
      <c r="C894" s="3" t="s">
        <v>2452</v>
      </c>
      <c r="D894" s="4" t="str">
        <f aca="false">IF(AND(EXACT(B894,C894),NOT(AND(ISBLANK(B894),ISBLANK(C894)))), "Common", "")</f>
        <v/>
      </c>
    </row>
    <row r="895" customFormat="false" ht="15.75" hidden="false" customHeight="false" outlineLevel="0" collapsed="false">
      <c r="A895" s="3" t="s">
        <v>655</v>
      </c>
      <c r="B895" s="3" t="s">
        <v>2439</v>
      </c>
      <c r="C895" s="3" t="s">
        <v>2439</v>
      </c>
      <c r="D895" s="4" t="str">
        <f aca="false">IF(AND(EXACT(B895,C895),NOT(AND(ISBLANK(B895),ISBLANK(C895)))), "Common", "")</f>
        <v>Common</v>
      </c>
    </row>
    <row r="896" customFormat="false" ht="15.75" hidden="false" customHeight="false" outlineLevel="0" collapsed="false">
      <c r="A896" s="3" t="s">
        <v>655</v>
      </c>
      <c r="C896" s="3" t="s">
        <v>2589</v>
      </c>
      <c r="D896" s="4" t="str">
        <f aca="false">IF(AND(EXACT(B896,C896),NOT(AND(ISBLANK(B896),ISBLANK(C896)))), "Common", "")</f>
        <v/>
      </c>
    </row>
    <row r="897" customFormat="false" ht="15.75" hidden="false" customHeight="false" outlineLevel="0" collapsed="false">
      <c r="A897" s="3" t="s">
        <v>655</v>
      </c>
      <c r="B897" s="3" t="s">
        <v>2435</v>
      </c>
      <c r="C897" s="3" t="s">
        <v>2435</v>
      </c>
      <c r="D897" s="4" t="str">
        <f aca="false">IF(AND(EXACT(B897,C897),NOT(AND(ISBLANK(B897),ISBLANK(C897)))), "Common", "")</f>
        <v>Common</v>
      </c>
    </row>
    <row r="898" customFormat="false" ht="15.75" hidden="false" customHeight="false" outlineLevel="0" collapsed="false">
      <c r="A898" s="3" t="s">
        <v>655</v>
      </c>
      <c r="B898" s="3" t="s">
        <v>2441</v>
      </c>
      <c r="C898" s="3" t="s">
        <v>2441</v>
      </c>
      <c r="D898" s="4" t="str">
        <f aca="false">IF(AND(EXACT(B898,C898),NOT(AND(ISBLANK(B898),ISBLANK(C898)))), "Common", "")</f>
        <v>Common</v>
      </c>
    </row>
    <row r="899" customFormat="false" ht="15.75" hidden="false" customHeight="false" outlineLevel="0" collapsed="false">
      <c r="A899" s="3" t="s">
        <v>655</v>
      </c>
      <c r="B899" s="3" t="s">
        <v>2453</v>
      </c>
      <c r="C899" s="3" t="s">
        <v>2453</v>
      </c>
      <c r="D899" s="4" t="str">
        <f aca="false">IF(AND(EXACT(B899,C899),NOT(AND(ISBLANK(B899),ISBLANK(C899)))), "Common", "")</f>
        <v>Common</v>
      </c>
    </row>
    <row r="900" customFormat="false" ht="15.75" hidden="false" customHeight="false" outlineLevel="0" collapsed="false">
      <c r="A900" s="3" t="s">
        <v>655</v>
      </c>
      <c r="B900" s="3" t="s">
        <v>2450</v>
      </c>
      <c r="D900" s="4" t="str">
        <f aca="false">IF(AND(EXACT(B900,C900),NOT(AND(ISBLANK(B900),ISBLANK(C900)))), "Common", "")</f>
        <v/>
      </c>
    </row>
    <row r="901" customFormat="false" ht="15.75" hidden="false" customHeight="false" outlineLevel="0" collapsed="false">
      <c r="A901" s="3" t="s">
        <v>655</v>
      </c>
      <c r="B901" s="3" t="s">
        <v>2443</v>
      </c>
      <c r="C901" s="3" t="s">
        <v>2443</v>
      </c>
      <c r="D901" s="4" t="str">
        <f aca="false">IF(AND(EXACT(B901,C901),NOT(AND(ISBLANK(B901),ISBLANK(C901)))), "Common", "")</f>
        <v>Common</v>
      </c>
    </row>
    <row r="902" customFormat="false" ht="15.75" hidden="false" customHeight="false" outlineLevel="0" collapsed="false">
      <c r="A902" s="3" t="s">
        <v>655</v>
      </c>
      <c r="B902" s="3" t="s">
        <v>2479</v>
      </c>
      <c r="C902" s="3" t="s">
        <v>2479</v>
      </c>
      <c r="D902" s="4" t="str">
        <f aca="false">IF(AND(EXACT(B902,C902),NOT(AND(ISBLANK(B902),ISBLANK(C902)))), "Common", "")</f>
        <v>Common</v>
      </c>
    </row>
    <row r="903" customFormat="false" ht="15.75" hidden="false" customHeight="false" outlineLevel="0" collapsed="false">
      <c r="A903" s="3" t="s">
        <v>655</v>
      </c>
      <c r="B903" s="3" t="s">
        <v>2506</v>
      </c>
      <c r="C903" s="3" t="s">
        <v>2506</v>
      </c>
      <c r="D903" s="4" t="str">
        <f aca="false">IF(AND(EXACT(B903,C903),NOT(AND(ISBLANK(B903),ISBLANK(C903)))), "Common", "")</f>
        <v>Common</v>
      </c>
    </row>
    <row r="904" customFormat="false" ht="15.75" hidden="false" customHeight="false" outlineLevel="0" collapsed="false">
      <c r="A904" s="3" t="s">
        <v>655</v>
      </c>
      <c r="B904" s="3" t="s">
        <v>2448</v>
      </c>
      <c r="C904" s="3" t="s">
        <v>2448</v>
      </c>
      <c r="D904" s="4" t="str">
        <f aca="false">IF(AND(EXACT(B904,C904),NOT(AND(ISBLANK(B904),ISBLANK(C904)))), "Common", "")</f>
        <v>Common</v>
      </c>
    </row>
    <row r="905" customFormat="false" ht="15.75" hidden="false" customHeight="false" outlineLevel="0" collapsed="false">
      <c r="A905" s="3" t="s">
        <v>655</v>
      </c>
      <c r="B905" s="3" t="s">
        <v>2451</v>
      </c>
      <c r="D905" s="4" t="str">
        <f aca="false">IF(AND(EXACT(B905,C905),NOT(AND(ISBLANK(B905),ISBLANK(C905)))), "Common", "")</f>
        <v/>
      </c>
    </row>
    <row r="906" customFormat="false" ht="15.75" hidden="false" customHeight="false" outlineLevel="0" collapsed="false">
      <c r="A906" s="3" t="s">
        <v>655</v>
      </c>
      <c r="B906" s="3" t="s">
        <v>2457</v>
      </c>
      <c r="D906" s="4" t="str">
        <f aca="false">IF(AND(EXACT(B906,C906),NOT(AND(ISBLANK(B906),ISBLANK(C906)))), "Common", "")</f>
        <v/>
      </c>
    </row>
    <row r="907" customFormat="false" ht="15.75" hidden="false" customHeight="false" outlineLevel="0" collapsed="false">
      <c r="A907" s="3" t="s">
        <v>655</v>
      </c>
      <c r="B907" s="3" t="s">
        <v>2458</v>
      </c>
      <c r="D907" s="4" t="str">
        <f aca="false">IF(AND(EXACT(B907,C907),NOT(AND(ISBLANK(B907),ISBLANK(C907)))), "Common", "")</f>
        <v/>
      </c>
    </row>
    <row r="908" customFormat="false" ht="15.75" hidden="false" customHeight="false" outlineLevel="0" collapsed="false">
      <c r="A908" s="3" t="s">
        <v>655</v>
      </c>
      <c r="B908" s="3" t="s">
        <v>2459</v>
      </c>
      <c r="D908" s="4" t="str">
        <f aca="false">IF(AND(EXACT(B908,C908),NOT(AND(ISBLANK(B908),ISBLANK(C908)))), "Common", "")</f>
        <v/>
      </c>
    </row>
    <row r="909" customFormat="false" ht="15.75" hidden="false" customHeight="false" outlineLevel="0" collapsed="false">
      <c r="A909" s="3" t="s">
        <v>655</v>
      </c>
      <c r="B909" s="3" t="s">
        <v>2461</v>
      </c>
      <c r="C909" s="3" t="s">
        <v>2608</v>
      </c>
      <c r="D909" s="4" t="str">
        <f aca="false">IF(AND(EXACT(B909,C909),NOT(AND(ISBLANK(B909),ISBLANK(C909)))), "Common", "")</f>
        <v/>
      </c>
    </row>
    <row r="910" customFormat="false" ht="15.75" hidden="false" customHeight="false" outlineLevel="0" collapsed="false">
      <c r="A910" s="3" t="s">
        <v>655</v>
      </c>
      <c r="B910" s="3" t="s">
        <v>2480</v>
      </c>
      <c r="D910" s="4" t="str">
        <f aca="false">IF(AND(EXACT(B910,C910),NOT(AND(ISBLANK(B910),ISBLANK(C910)))), "Common", "")</f>
        <v/>
      </c>
    </row>
    <row r="911" customFormat="false" ht="15.75" hidden="false" customHeight="false" outlineLevel="0" collapsed="false">
      <c r="A911" s="3" t="s">
        <v>655</v>
      </c>
      <c r="B911" s="3" t="s">
        <v>2505</v>
      </c>
      <c r="D911" s="4" t="str">
        <f aca="false">IF(AND(EXACT(B911,C911),NOT(AND(ISBLANK(B911),ISBLANK(C911)))), "Common", "")</f>
        <v/>
      </c>
    </row>
    <row r="912" customFormat="false" ht="15.75" hidden="false" customHeight="false" outlineLevel="0" collapsed="false">
      <c r="A912" s="3" t="s">
        <v>655</v>
      </c>
      <c r="C912" s="3" t="s">
        <v>2573</v>
      </c>
      <c r="D912" s="4" t="str">
        <f aca="false">IF(AND(EXACT(B912,C912),NOT(AND(ISBLANK(B912),ISBLANK(C912)))), "Common", "")</f>
        <v/>
      </c>
    </row>
    <row r="913" customFormat="false" ht="15.75" hidden="false" customHeight="false" outlineLevel="0" collapsed="false">
      <c r="A913" s="3" t="s">
        <v>655</v>
      </c>
      <c r="C913" s="3" t="s">
        <v>2562</v>
      </c>
      <c r="D913" s="4" t="str">
        <f aca="false">IF(AND(EXACT(B913,C913),NOT(AND(ISBLANK(B913),ISBLANK(C913)))), "Common", "")</f>
        <v/>
      </c>
    </row>
    <row r="914" customFormat="false" ht="15.75" hidden="false" customHeight="false" outlineLevel="0" collapsed="false">
      <c r="A914" s="3" t="s">
        <v>655</v>
      </c>
      <c r="B914" s="3"/>
      <c r="C914" s="3" t="s">
        <v>2568</v>
      </c>
      <c r="D914" s="4" t="str">
        <f aca="false">IF(AND(EXACT(B914,C914),NOT(AND(ISBLANK(B914),ISBLANK(C914)))), "Common", "")</f>
        <v/>
      </c>
    </row>
    <row r="915" customFormat="false" ht="15.75" hidden="false" customHeight="false" outlineLevel="0" collapsed="false">
      <c r="A915" s="3" t="s">
        <v>655</v>
      </c>
      <c r="C915" s="3" t="s">
        <v>2569</v>
      </c>
      <c r="D915" s="4" t="str">
        <f aca="false">IF(AND(EXACT(B915,C915),NOT(AND(ISBLANK(B915),ISBLANK(C915)))), "Common", "")</f>
        <v/>
      </c>
    </row>
    <row r="916" customFormat="false" ht="15.75" hidden="false" customHeight="false" outlineLevel="0" collapsed="false">
      <c r="A916" s="3" t="s">
        <v>655</v>
      </c>
      <c r="C916" s="3" t="s">
        <v>2570</v>
      </c>
      <c r="D916" s="4" t="str">
        <f aca="false">IF(AND(EXACT(B916,C916),NOT(AND(ISBLANK(B916),ISBLANK(C916)))), "Common", "")</f>
        <v/>
      </c>
    </row>
    <row r="917" customFormat="false" ht="15.75" hidden="false" customHeight="false" outlineLevel="0" collapsed="false">
      <c r="A917" s="3" t="s">
        <v>655</v>
      </c>
      <c r="C917" s="3" t="s">
        <v>2571</v>
      </c>
      <c r="D917" s="4" t="str">
        <f aca="false">IF(AND(EXACT(B917,C917),NOT(AND(ISBLANK(B917),ISBLANK(C917)))), "Common", "")</f>
        <v/>
      </c>
    </row>
    <row r="918" customFormat="false" ht="15.75" hidden="false" customHeight="false" outlineLevel="0" collapsed="false">
      <c r="A918" s="3" t="s">
        <v>655</v>
      </c>
      <c r="C918" s="3" t="s">
        <v>2566</v>
      </c>
      <c r="D918" s="4" t="str">
        <f aca="false">IF(AND(EXACT(B918,C918),NOT(AND(ISBLANK(B918),ISBLANK(C918)))), "Common", "")</f>
        <v/>
      </c>
    </row>
    <row r="919" customFormat="false" ht="15.75" hidden="false" customHeight="false" outlineLevel="0" collapsed="false">
      <c r="A919" s="3" t="s">
        <v>655</v>
      </c>
      <c r="C919" s="3" t="s">
        <v>2578</v>
      </c>
      <c r="D919" s="4" t="str">
        <f aca="false">IF(AND(EXACT(B919,C919),NOT(AND(ISBLANK(B919),ISBLANK(C919)))), "Common", "")</f>
        <v/>
      </c>
    </row>
    <row r="920" customFormat="false" ht="15.75" hidden="false" customHeight="false" outlineLevel="0" collapsed="false">
      <c r="A920" s="3" t="s">
        <v>655</v>
      </c>
      <c r="C920" s="3" t="s">
        <v>2580</v>
      </c>
      <c r="D920" s="4" t="str">
        <f aca="false">IF(AND(EXACT(B920,C920),NOT(AND(ISBLANK(B920),ISBLANK(C920)))), "Common", "")</f>
        <v/>
      </c>
    </row>
    <row r="921" customFormat="false" ht="15.75" hidden="false" customHeight="false" outlineLevel="0" collapsed="false">
      <c r="A921" s="3" t="s">
        <v>655</v>
      </c>
      <c r="C921" s="3" t="s">
        <v>2582</v>
      </c>
      <c r="D921" s="4" t="str">
        <f aca="false">IF(AND(EXACT(B921,C921),NOT(AND(ISBLANK(B921),ISBLANK(C921)))), "Common", "")</f>
        <v/>
      </c>
    </row>
    <row r="922" customFormat="false" ht="15.75" hidden="false" customHeight="false" outlineLevel="0" collapsed="false">
      <c r="A922" s="3" t="s">
        <v>655</v>
      </c>
      <c r="B922" s="3"/>
      <c r="C922" s="3" t="s">
        <v>2587</v>
      </c>
      <c r="D922" s="4" t="str">
        <f aca="false">IF(AND(EXACT(B922,C922),NOT(AND(ISBLANK(B922),ISBLANK(C922)))), "Common", "")</f>
        <v/>
      </c>
    </row>
    <row r="923" customFormat="false" ht="15.75" hidden="false" customHeight="false" outlineLevel="0" collapsed="false">
      <c r="A923" s="3" t="s">
        <v>655</v>
      </c>
      <c r="B923" s="3"/>
      <c r="C923" s="3" t="s">
        <v>2593</v>
      </c>
      <c r="D923" s="4" t="str">
        <f aca="false">IF(AND(EXACT(B923,C923),NOT(AND(ISBLANK(B923),ISBLANK(C923)))), "Common", "")</f>
        <v/>
      </c>
    </row>
    <row r="924" customFormat="false" ht="15.75" hidden="false" customHeight="false" outlineLevel="0" collapsed="false">
      <c r="A924" s="3" t="s">
        <v>655</v>
      </c>
      <c r="C924" s="3" t="s">
        <v>2600</v>
      </c>
      <c r="D924" s="4" t="str">
        <f aca="false">IF(AND(EXACT(B924,C924),NOT(AND(ISBLANK(B924),ISBLANK(C924)))), "Common", "")</f>
        <v/>
      </c>
    </row>
    <row r="925" customFormat="false" ht="15.75" hidden="false" customHeight="false" outlineLevel="0" collapsed="false">
      <c r="A925" s="3" t="s">
        <v>655</v>
      </c>
      <c r="C925" s="3" t="s">
        <v>2603</v>
      </c>
      <c r="D925" s="4" t="str">
        <f aca="false">IF(AND(EXACT(B925,C925),NOT(AND(ISBLANK(B925),ISBLANK(C925)))), "Common", "")</f>
        <v/>
      </c>
    </row>
    <row r="926" customFormat="false" ht="15.75" hidden="false" customHeight="false" outlineLevel="0" collapsed="false">
      <c r="A926" s="3" t="s">
        <v>656</v>
      </c>
      <c r="B926" s="3"/>
      <c r="C926" s="3" t="s">
        <v>2621</v>
      </c>
      <c r="D926" s="4" t="str">
        <f aca="false">IF(AND(EXACT(B926,C926),NOT(AND(ISBLANK(B926),ISBLANK(C926)))), "Common", "")</f>
        <v/>
      </c>
    </row>
    <row r="927" customFormat="false" ht="15.75" hidden="false" customHeight="false" outlineLevel="0" collapsed="false">
      <c r="A927" s="3" t="s">
        <v>656</v>
      </c>
      <c r="B927" s="3"/>
      <c r="C927" s="3" t="s">
        <v>2623</v>
      </c>
      <c r="D927" s="4" t="str">
        <f aca="false">IF(AND(EXACT(B927,C927),NOT(AND(ISBLANK(B927),ISBLANK(C927)))), "Common", "")</f>
        <v/>
      </c>
    </row>
    <row r="928" customFormat="false" ht="15.75" hidden="false" customHeight="false" outlineLevel="0" collapsed="false">
      <c r="A928" s="3" t="s">
        <v>656</v>
      </c>
      <c r="B928" s="3" t="s">
        <v>1522</v>
      </c>
      <c r="D928" s="4" t="str">
        <f aca="false">IF(AND(EXACT(B928,C928),NOT(AND(ISBLANK(B928),ISBLANK(C928)))), "Common", "")</f>
        <v/>
      </c>
    </row>
    <row r="929" customFormat="false" ht="15.75" hidden="false" customHeight="false" outlineLevel="0" collapsed="false">
      <c r="A929" s="3" t="s">
        <v>656</v>
      </c>
      <c r="B929" s="3" t="s">
        <v>1524</v>
      </c>
      <c r="D929" s="4" t="str">
        <f aca="false">IF(AND(EXACT(B929,C929),NOT(AND(ISBLANK(B929),ISBLANK(C929)))), "Common", "")</f>
        <v/>
      </c>
    </row>
    <row r="930" customFormat="false" ht="15.75" hidden="false" customHeight="false" outlineLevel="0" collapsed="false">
      <c r="A930" s="3" t="s">
        <v>656</v>
      </c>
      <c r="C930" s="3" t="s">
        <v>1498</v>
      </c>
      <c r="D930" s="4" t="str">
        <f aca="false">IF(AND(EXACT(B930,C930),NOT(AND(ISBLANK(B930),ISBLANK(C930)))), "Common", "")</f>
        <v/>
      </c>
    </row>
    <row r="931" customFormat="false" ht="15.75" hidden="false" customHeight="false" outlineLevel="0" collapsed="false">
      <c r="A931" s="3" t="s">
        <v>2763</v>
      </c>
      <c r="B931" s="3" t="s">
        <v>1998</v>
      </c>
      <c r="C931" s="3" t="s">
        <v>1998</v>
      </c>
      <c r="D931" s="4" t="str">
        <f aca="false">IF(AND(EXACT(B931,C931),NOT(AND(ISBLANK(B931),ISBLANK(C931)))), "Common", "")</f>
        <v>Common</v>
      </c>
    </row>
    <row r="932" customFormat="false" ht="15.75" hidden="false" customHeight="false" outlineLevel="0" collapsed="false">
      <c r="A932" s="3" t="s">
        <v>2763</v>
      </c>
      <c r="B932" s="3" t="s">
        <v>2107</v>
      </c>
      <c r="D932" s="4" t="str">
        <f aca="false">IF(AND(EXACT(B932,C932),NOT(AND(ISBLANK(B932),ISBLANK(C932)))), "Common", "")</f>
        <v/>
      </c>
    </row>
    <row r="933" customFormat="false" ht="15.75" hidden="false" customHeight="false" outlineLevel="0" collapsed="false">
      <c r="A933" s="3" t="s">
        <v>2764</v>
      </c>
      <c r="B933" s="3" t="s">
        <v>2464</v>
      </c>
      <c r="C933" s="3" t="s">
        <v>2464</v>
      </c>
      <c r="D933" s="4" t="str">
        <f aca="false">IF(AND(EXACT(B933,C933),NOT(AND(ISBLANK(B933),ISBLANK(C933)))), "Common", "")</f>
        <v>Common</v>
      </c>
    </row>
    <row r="934" customFormat="false" ht="15.75" hidden="false" customHeight="false" outlineLevel="0" collapsed="false">
      <c r="A934" s="3" t="s">
        <v>2764</v>
      </c>
      <c r="B934" s="3" t="s">
        <v>2466</v>
      </c>
      <c r="C934" s="3" t="s">
        <v>2466</v>
      </c>
      <c r="D934" s="4" t="str">
        <f aca="false">IF(AND(EXACT(B934,C934),NOT(AND(ISBLANK(B934),ISBLANK(C934)))), "Common", "")</f>
        <v>Common</v>
      </c>
    </row>
    <row r="935" customFormat="false" ht="15.75" hidden="false" customHeight="false" outlineLevel="0" collapsed="false">
      <c r="A935" s="3" t="s">
        <v>2765</v>
      </c>
      <c r="B935" s="3"/>
      <c r="C935" s="3" t="s">
        <v>1682</v>
      </c>
      <c r="D935" s="4" t="str">
        <f aca="false">IF(AND(EXACT(B935,C935),NOT(AND(ISBLANK(B935),ISBLANK(C935)))), "Common", "")</f>
        <v/>
      </c>
    </row>
    <row r="936" customFormat="false" ht="15.75" hidden="false" customHeight="false" outlineLevel="0" collapsed="false">
      <c r="A936" s="3" t="s">
        <v>2766</v>
      </c>
      <c r="B936" s="3" t="s">
        <v>1968</v>
      </c>
      <c r="C936" s="3" t="s">
        <v>1968</v>
      </c>
      <c r="D936" s="4" t="str">
        <f aca="false">IF(AND(EXACT(B936,C936),NOT(AND(ISBLANK(B936),ISBLANK(C936)))), "Common", "")</f>
        <v>Common</v>
      </c>
    </row>
    <row r="937" customFormat="false" ht="15.75" hidden="false" customHeight="false" outlineLevel="0" collapsed="false">
      <c r="A937" s="3" t="s">
        <v>2766</v>
      </c>
      <c r="B937" s="3" t="s">
        <v>2007</v>
      </c>
      <c r="C937" s="3" t="s">
        <v>2007</v>
      </c>
      <c r="D937" s="4" t="str">
        <f aca="false">IF(AND(EXACT(B937,C937),NOT(AND(ISBLANK(B937),ISBLANK(C937)))), "Common", "")</f>
        <v>Common</v>
      </c>
    </row>
    <row r="938" customFormat="false" ht="15.75" hidden="false" customHeight="false" outlineLevel="0" collapsed="false">
      <c r="A938" s="3" t="s">
        <v>2766</v>
      </c>
      <c r="C938" s="3" t="s">
        <v>1997</v>
      </c>
      <c r="D938" s="4" t="str">
        <f aca="false">IF(AND(EXACT(B938,C938),NOT(AND(ISBLANK(B938),ISBLANK(C938)))), "Common", "")</f>
        <v/>
      </c>
    </row>
    <row r="939" customFormat="false" ht="15.75" hidden="false" customHeight="false" outlineLevel="0" collapsed="false">
      <c r="A939" s="3" t="s">
        <v>2766</v>
      </c>
      <c r="B939" s="3" t="s">
        <v>2118</v>
      </c>
      <c r="C939" s="3"/>
      <c r="D939" s="4" t="str">
        <f aca="false">IF(AND(EXACT(B939,C939),NOT(AND(ISBLANK(B939),ISBLANK(C939)))), "Common", "")</f>
        <v/>
      </c>
    </row>
    <row r="940" customFormat="false" ht="15.75" hidden="false" customHeight="false" outlineLevel="0" collapsed="false">
      <c r="A940" s="3" t="s">
        <v>2765</v>
      </c>
      <c r="B940" s="3" t="s">
        <v>2517</v>
      </c>
      <c r="C940" s="3" t="s">
        <v>2517</v>
      </c>
      <c r="D940" s="4" t="str">
        <f aca="false">IF(AND(EXACT(B940,C940),NOT(AND(ISBLANK(B940),ISBLANK(C940)))), "Common", "")</f>
        <v>Common</v>
      </c>
    </row>
    <row r="941" customFormat="false" ht="15.75" hidden="false" customHeight="false" outlineLevel="0" collapsed="false">
      <c r="A941" s="3" t="s">
        <v>2765</v>
      </c>
      <c r="B941" s="3" t="s">
        <v>2518</v>
      </c>
      <c r="C941" s="3" t="s">
        <v>2518</v>
      </c>
      <c r="D941" s="4" t="str">
        <f aca="false">IF(AND(EXACT(B941,C941),NOT(AND(ISBLANK(B941),ISBLANK(C941)))), "Common", "")</f>
        <v>Common</v>
      </c>
    </row>
    <row r="942" customFormat="false" ht="15.75" hidden="false" customHeight="false" outlineLevel="0" collapsed="false">
      <c r="A942" s="3" t="s">
        <v>2765</v>
      </c>
      <c r="B942" s="3" t="s">
        <v>2511</v>
      </c>
      <c r="C942" s="3"/>
      <c r="D942" s="4" t="str">
        <f aca="false">IF(AND(EXACT(B942,C942),NOT(AND(ISBLANK(B942),ISBLANK(C942)))), "Common", "")</f>
        <v/>
      </c>
    </row>
    <row r="943" customFormat="false" ht="15.75" hidden="false" customHeight="false" outlineLevel="0" collapsed="false">
      <c r="A943" s="3" t="s">
        <v>2765</v>
      </c>
      <c r="B943" s="3" t="s">
        <v>2513</v>
      </c>
      <c r="C943" s="3"/>
      <c r="D943" s="4" t="str">
        <f aca="false">IF(AND(EXACT(B943,C943),NOT(AND(ISBLANK(B943),ISBLANK(C943)))), "Common", "")</f>
        <v/>
      </c>
    </row>
    <row r="944" customFormat="false" ht="15.75" hidden="false" customHeight="false" outlineLevel="0" collapsed="false">
      <c r="A944" s="3" t="s">
        <v>2765</v>
      </c>
      <c r="B944" s="3" t="s">
        <v>2515</v>
      </c>
      <c r="C944" s="3"/>
      <c r="D944" s="4" t="str">
        <f aca="false">IF(AND(EXACT(B944,C944),NOT(AND(ISBLANK(B944),ISBLANK(C944)))), "Common", "")</f>
        <v/>
      </c>
    </row>
    <row r="945" customFormat="false" ht="15.75" hidden="false" customHeight="false" outlineLevel="0" collapsed="false">
      <c r="A945" s="3" t="s">
        <v>2765</v>
      </c>
      <c r="C945" s="3" t="s">
        <v>2588</v>
      </c>
      <c r="D945" s="4" t="str">
        <f aca="false">IF(AND(EXACT(B945,C945),NOT(AND(ISBLANK(B945),ISBLANK(C945)))), "Common", "")</f>
        <v/>
      </c>
    </row>
    <row r="946" customFormat="false" ht="15.75" hidden="false" customHeight="false" outlineLevel="0" collapsed="false">
      <c r="A946" s="3" t="s">
        <v>2765</v>
      </c>
      <c r="C946" s="3" t="s">
        <v>2592</v>
      </c>
      <c r="D946" s="4" t="str">
        <f aca="false">IF(AND(EXACT(B946,C946),NOT(AND(ISBLANK(B946),ISBLANK(C946)))), "Common", "")</f>
        <v/>
      </c>
    </row>
    <row r="947" customFormat="false" ht="15.75" hidden="false" customHeight="false" outlineLevel="0" collapsed="false">
      <c r="A947" s="3" t="s">
        <v>2765</v>
      </c>
      <c r="B947" s="3"/>
      <c r="C947" s="3" t="s">
        <v>2601</v>
      </c>
      <c r="D947" s="4" t="str">
        <f aca="false">IF(AND(EXACT(B947,C947),NOT(AND(ISBLANK(B947),ISBLANK(C947)))), "Common", "")</f>
        <v/>
      </c>
    </row>
    <row r="948" customFormat="false" ht="15.75" hidden="false" customHeight="false" outlineLevel="0" collapsed="false">
      <c r="A948" s="3" t="s">
        <v>2765</v>
      </c>
      <c r="C948" s="3" t="s">
        <v>2602</v>
      </c>
      <c r="D948" s="4" t="str">
        <f aca="false">IF(AND(EXACT(B948,C948),NOT(AND(ISBLANK(B948),ISBLANK(C948)))), "Common", "")</f>
        <v/>
      </c>
    </row>
    <row r="949" customFormat="false" ht="15.75" hidden="false" customHeight="false" outlineLevel="0" collapsed="false">
      <c r="A949" s="3" t="s">
        <v>2765</v>
      </c>
      <c r="B949" s="3"/>
      <c r="C949" s="3" t="s">
        <v>2605</v>
      </c>
      <c r="D949" s="4" t="str">
        <f aca="false">IF(AND(EXACT(B949,C949),NOT(AND(ISBLANK(B949),ISBLANK(C949)))), "Common", "")</f>
        <v/>
      </c>
    </row>
    <row r="950" customFormat="false" ht="15.75" hidden="false" customHeight="false" outlineLevel="0" collapsed="false">
      <c r="A950" s="3" t="s">
        <v>2765</v>
      </c>
      <c r="B950" s="3"/>
      <c r="C950" s="3" t="s">
        <v>2606</v>
      </c>
      <c r="D950" s="4" t="str">
        <f aca="false">IF(AND(EXACT(B950,C950),NOT(AND(ISBLANK(B950),ISBLANK(C950)))), "Common", "")</f>
        <v/>
      </c>
    </row>
    <row r="951" customFormat="false" ht="15.75" hidden="false" customHeight="false" outlineLevel="0" collapsed="false">
      <c r="A951" s="3" t="s">
        <v>2765</v>
      </c>
      <c r="B951" s="3"/>
      <c r="C951" s="3" t="s">
        <v>2607</v>
      </c>
      <c r="D951" s="4" t="str">
        <f aca="false">IF(AND(EXACT(B951,C951),NOT(AND(ISBLANK(B951),ISBLANK(C951)))), "Common", "")</f>
        <v/>
      </c>
    </row>
    <row r="952" customFormat="false" ht="15.75" hidden="false" customHeight="false" outlineLevel="0" collapsed="false">
      <c r="A952" s="3" t="s">
        <v>2765</v>
      </c>
      <c r="B952" s="3"/>
      <c r="C952" s="3" t="s">
        <v>2604</v>
      </c>
      <c r="D952" s="4" t="str">
        <f aca="false">IF(AND(EXACT(B952,C952),NOT(AND(ISBLANK(B952),ISBLANK(C952)))), "Common", "")</f>
        <v/>
      </c>
    </row>
    <row r="953" customFormat="false" ht="15.75" hidden="false" customHeight="false" outlineLevel="0" collapsed="false">
      <c r="A953" s="3" t="s">
        <v>2767</v>
      </c>
      <c r="B953" s="3" t="s">
        <v>1507</v>
      </c>
      <c r="C953" s="3"/>
      <c r="D953" s="4" t="str">
        <f aca="false">IF(AND(EXACT(B953,C953),NOT(AND(ISBLANK(B953),ISBLANK(C953)))), "Common", "")</f>
        <v/>
      </c>
    </row>
    <row r="954" customFormat="false" ht="15.75" hidden="false" customHeight="false" outlineLevel="0" collapsed="false">
      <c r="A954" s="3" t="s">
        <v>2767</v>
      </c>
      <c r="B954" s="3" t="s">
        <v>1495</v>
      </c>
      <c r="D954" s="4" t="str">
        <f aca="false">IF(AND(EXACT(B954,C954),NOT(AND(ISBLANK(B954),ISBLANK(C954)))), "Common", "")</f>
        <v/>
      </c>
    </row>
    <row r="955" customFormat="false" ht="15.75" hidden="false" customHeight="false" outlineLevel="0" collapsed="false">
      <c r="A955" s="3" t="s">
        <v>2767</v>
      </c>
      <c r="B955" s="3" t="s">
        <v>2055</v>
      </c>
      <c r="C955" s="3"/>
      <c r="D955" s="4" t="str">
        <f aca="false">IF(AND(EXACT(B955,C955),NOT(AND(ISBLANK(B955),ISBLANK(C955)))), "Common", "")</f>
        <v/>
      </c>
    </row>
    <row r="956" customFormat="false" ht="15.75" hidden="false" customHeight="false" outlineLevel="0" collapsed="false">
      <c r="A956" s="3" t="s">
        <v>2767</v>
      </c>
      <c r="B956" s="3" t="s">
        <v>2000</v>
      </c>
      <c r="C956" s="3" t="s">
        <v>2000</v>
      </c>
      <c r="D956" s="4" t="str">
        <f aca="false">IF(AND(EXACT(B956,C956),NOT(AND(ISBLANK(B956),ISBLANK(C956)))), "Common", "")</f>
        <v>Common</v>
      </c>
    </row>
    <row r="957" customFormat="false" ht="15.75" hidden="false" customHeight="false" outlineLevel="0" collapsed="false">
      <c r="A957" s="3" t="s">
        <v>2767</v>
      </c>
      <c r="B957" s="3" t="s">
        <v>2115</v>
      </c>
      <c r="C957" s="3"/>
      <c r="D957" s="4" t="str">
        <f aca="false">IF(AND(EXACT(B957,C957),NOT(AND(ISBLANK(B957),ISBLANK(C957)))), "Common", "")</f>
        <v/>
      </c>
    </row>
    <row r="958" customFormat="false" ht="15.75" hidden="false" customHeight="false" outlineLevel="0" collapsed="false">
      <c r="A958" s="3" t="s">
        <v>2767</v>
      </c>
      <c r="B958" s="3" t="s">
        <v>2116</v>
      </c>
      <c r="C958" s="3"/>
      <c r="D958" s="4" t="str">
        <f aca="false">IF(AND(EXACT(B958,C958),NOT(AND(ISBLANK(B958),ISBLANK(C958)))), "Common", "")</f>
        <v/>
      </c>
    </row>
    <row r="959" customFormat="false" ht="15.75" hidden="false" customHeight="false" outlineLevel="0" collapsed="false">
      <c r="A959" s="3" t="s">
        <v>2768</v>
      </c>
      <c r="B959" s="3" t="s">
        <v>2473</v>
      </c>
      <c r="C959" s="3" t="s">
        <v>2473</v>
      </c>
      <c r="D959" s="4" t="str">
        <f aca="false">IF(AND(EXACT(B959,C959),NOT(AND(ISBLANK(B959),ISBLANK(C959)))), "Common", "")</f>
        <v>Common</v>
      </c>
    </row>
    <row r="960" customFormat="false" ht="15.75" hidden="false" customHeight="false" outlineLevel="0" collapsed="false">
      <c r="A960" s="3" t="s">
        <v>2768</v>
      </c>
      <c r="B960" s="3" t="s">
        <v>2508</v>
      </c>
      <c r="C960" s="3" t="s">
        <v>2508</v>
      </c>
      <c r="D960" s="4" t="str">
        <f aca="false">IF(AND(EXACT(B960,C960),NOT(AND(ISBLANK(B960),ISBLANK(C960)))), "Common", "")</f>
        <v>Common</v>
      </c>
    </row>
    <row r="961" customFormat="false" ht="15.75" hidden="false" customHeight="false" outlineLevel="0" collapsed="false">
      <c r="A961" s="3" t="s">
        <v>2768</v>
      </c>
      <c r="B961" s="3" t="s">
        <v>2509</v>
      </c>
      <c r="C961" s="3"/>
      <c r="D961" s="4" t="str">
        <f aca="false">IF(AND(EXACT(B961,C961),NOT(AND(ISBLANK(B961),ISBLANK(C961)))), "Common", "")</f>
        <v/>
      </c>
    </row>
    <row r="962" customFormat="false" ht="15.75" hidden="false" customHeight="false" outlineLevel="0" collapsed="false">
      <c r="A962" s="3" t="s">
        <v>2768</v>
      </c>
      <c r="B962" s="3" t="s">
        <v>2470</v>
      </c>
      <c r="C962" s="3" t="s">
        <v>2470</v>
      </c>
      <c r="D962" s="4" t="str">
        <f aca="false">IF(AND(EXACT(B962,C962),NOT(AND(ISBLANK(B962),ISBLANK(C962)))), "Common", "")</f>
        <v>Common</v>
      </c>
    </row>
    <row r="963" customFormat="false" ht="15.75" hidden="false" customHeight="false" outlineLevel="0" collapsed="false">
      <c r="A963" s="3" t="s">
        <v>2768</v>
      </c>
      <c r="B963" s="3" t="s">
        <v>2475</v>
      </c>
      <c r="C963" s="3"/>
      <c r="D963" s="4" t="str">
        <f aca="false">IF(AND(EXACT(B963,C963),NOT(AND(ISBLANK(B963),ISBLANK(C963)))), "Common", "")</f>
        <v/>
      </c>
    </row>
    <row r="964" customFormat="false" ht="15.75" hidden="false" customHeight="false" outlineLevel="0" collapsed="false">
      <c r="A964" s="3" t="s">
        <v>2768</v>
      </c>
      <c r="B964" s="3" t="s">
        <v>2477</v>
      </c>
      <c r="C964" s="3"/>
      <c r="D964" s="4" t="str">
        <f aca="false">IF(AND(EXACT(B964,C964),NOT(AND(ISBLANK(B964),ISBLANK(C964)))), "Common", "")</f>
        <v/>
      </c>
    </row>
    <row r="965" customFormat="false" ht="15.75" hidden="false" customHeight="false" outlineLevel="0" collapsed="false">
      <c r="A965" s="3" t="s">
        <v>2768</v>
      </c>
      <c r="B965" s="3"/>
      <c r="C965" s="3" t="s">
        <v>2591</v>
      </c>
      <c r="D965" s="4" t="str">
        <f aca="false">IF(AND(EXACT(B965,C965),NOT(AND(ISBLANK(B965),ISBLANK(C965)))), "Common", "")</f>
        <v/>
      </c>
    </row>
    <row r="966" customFormat="false" ht="15.75" hidden="false" customHeight="false" outlineLevel="0" collapsed="false">
      <c r="A966" s="3" t="s">
        <v>2768</v>
      </c>
      <c r="B966" s="3"/>
      <c r="C966" s="3" t="s">
        <v>2590</v>
      </c>
      <c r="D966" s="4" t="str">
        <f aca="false">IF(AND(EXACT(B966,C966),NOT(AND(ISBLANK(B966),ISBLANK(C966)))), "Common", "")</f>
        <v/>
      </c>
    </row>
    <row r="967" customFormat="false" ht="15.75" hidden="false" customHeight="false" outlineLevel="0" collapsed="false">
      <c r="A967" s="3" t="s">
        <v>2768</v>
      </c>
      <c r="B967" s="3"/>
      <c r="C967" s="3"/>
      <c r="D967" s="4" t="str">
        <f aca="false">IF(AND(EXACT(B967,C967),NOT(AND(ISBLANK(B967),ISBLANK(C967)))), "Common", "")</f>
        <v/>
      </c>
    </row>
    <row r="968" customFormat="false" ht="15.75" hidden="false" customHeight="false" outlineLevel="0" collapsed="false">
      <c r="A968" s="3" t="s">
        <v>2768</v>
      </c>
      <c r="B968" s="3"/>
      <c r="C968" s="17" t="s">
        <v>1950</v>
      </c>
      <c r="D968" s="4" t="str">
        <f aca="false">IF(AND(EXACT(B968,C968),NOT(AND(ISBLANK(B968),ISBLANK(C968)))), "Common", "")</f>
        <v/>
      </c>
    </row>
    <row r="969" customFormat="false" ht="15.75" hidden="false" customHeight="false" outlineLevel="0" collapsed="false">
      <c r="A969" s="3" t="s">
        <v>2769</v>
      </c>
      <c r="B969" s="3" t="s">
        <v>1499</v>
      </c>
      <c r="C969" s="3" t="s">
        <v>1499</v>
      </c>
      <c r="D969" s="4" t="str">
        <f aca="false">IF(AND(EXACT(B969,C969),NOT(AND(ISBLANK(B969),ISBLANK(C969)))), "Common", "")</f>
        <v>Common</v>
      </c>
    </row>
    <row r="970" customFormat="false" ht="15.75" hidden="false" customHeight="false" outlineLevel="0" collapsed="false">
      <c r="A970" s="3" t="s">
        <v>2770</v>
      </c>
      <c r="B970" s="3" t="s">
        <v>1680</v>
      </c>
      <c r="C970" s="3" t="s">
        <v>1680</v>
      </c>
      <c r="D970" s="4" t="str">
        <f aca="false">IF(AND(EXACT(B970,C970),NOT(AND(ISBLANK(B970),ISBLANK(C970)))), "Common", "")</f>
        <v>Common</v>
      </c>
    </row>
    <row r="971" customFormat="false" ht="15.75" hidden="false" customHeight="false" outlineLevel="0" collapsed="false">
      <c r="A971" s="3" t="s">
        <v>2770</v>
      </c>
      <c r="B971" s="3" t="s">
        <v>1781</v>
      </c>
      <c r="C971" s="3"/>
      <c r="D971" s="4" t="str">
        <f aca="false">IF(AND(EXACT(B971,C971),NOT(AND(ISBLANK(B971),ISBLANK(C971)))), "Common", "")</f>
        <v/>
      </c>
    </row>
    <row r="972" customFormat="false" ht="15.75" hidden="false" customHeight="false" outlineLevel="0" collapsed="false">
      <c r="A972" s="3" t="s">
        <v>2769</v>
      </c>
      <c r="B972" s="3" t="s">
        <v>2053</v>
      </c>
      <c r="C972" s="3"/>
      <c r="D972" s="4" t="str">
        <f aca="false">IF(AND(EXACT(B972,C972),NOT(AND(ISBLANK(B972),ISBLANK(C972)))), "Common", "")</f>
        <v/>
      </c>
    </row>
    <row r="973" customFormat="false" ht="15.75" hidden="false" customHeight="false" outlineLevel="0" collapsed="false">
      <c r="A973" s="3" t="s">
        <v>2769</v>
      </c>
      <c r="B973" s="3" t="s">
        <v>1995</v>
      </c>
      <c r="C973" s="3" t="s">
        <v>1995</v>
      </c>
      <c r="D973" s="4" t="str">
        <f aca="false">IF(AND(EXACT(B973,C973),NOT(AND(ISBLANK(B973),ISBLANK(C973)))), "Common", "")</f>
        <v>Common</v>
      </c>
    </row>
    <row r="974" customFormat="false" ht="15.75" hidden="false" customHeight="false" outlineLevel="0" collapsed="false">
      <c r="A974" s="3" t="s">
        <v>2769</v>
      </c>
      <c r="B974" s="3"/>
      <c r="C974" s="3" t="s">
        <v>1988</v>
      </c>
      <c r="D974" s="4" t="str">
        <f aca="false">IF(AND(EXACT(B974,C974),NOT(AND(ISBLANK(B974),ISBLANK(C974)))), "Common", "")</f>
        <v/>
      </c>
    </row>
    <row r="975" customFormat="false" ht="15.75" hidden="false" customHeight="false" outlineLevel="0" collapsed="false">
      <c r="A975" s="3" t="s">
        <v>2769</v>
      </c>
      <c r="B975" s="3"/>
      <c r="C975" s="3" t="s">
        <v>1991</v>
      </c>
      <c r="D975" s="4" t="str">
        <f aca="false">IF(AND(EXACT(B975,C975),NOT(AND(ISBLANK(B975),ISBLANK(C975)))), "Common", "")</f>
        <v/>
      </c>
    </row>
    <row r="976" customFormat="false" ht="15.75" hidden="false" customHeight="false" outlineLevel="0" collapsed="false">
      <c r="A976" s="3" t="s">
        <v>2769</v>
      </c>
      <c r="B976" s="3"/>
      <c r="C976" s="3" t="s">
        <v>1993</v>
      </c>
      <c r="D976" s="4" t="str">
        <f aca="false">IF(AND(EXACT(B976,C976),NOT(AND(ISBLANK(B976),ISBLANK(C976)))), "Common", "")</f>
        <v/>
      </c>
    </row>
    <row r="977" customFormat="false" ht="15.75" hidden="false" customHeight="false" outlineLevel="0" collapsed="false">
      <c r="A977" s="3" t="s">
        <v>2769</v>
      </c>
      <c r="B977" s="3"/>
      <c r="C977" s="3" t="s">
        <v>2009</v>
      </c>
      <c r="D977" s="4" t="str">
        <f aca="false">IF(AND(EXACT(B977,C977),NOT(AND(ISBLANK(B977),ISBLANK(C977)))), "Common", "")</f>
        <v/>
      </c>
    </row>
    <row r="978" customFormat="false" ht="15.75" hidden="false" customHeight="false" outlineLevel="0" collapsed="false">
      <c r="A978" s="3" t="s">
        <v>2769</v>
      </c>
      <c r="B978" s="3" t="s">
        <v>2095</v>
      </c>
      <c r="C978" s="3"/>
      <c r="D978" s="4" t="str">
        <f aca="false">IF(AND(EXACT(B978,C978),NOT(AND(ISBLANK(B978),ISBLANK(C978)))), "Common", "")</f>
        <v/>
      </c>
    </row>
    <row r="979" customFormat="false" ht="15.75" hidden="false" customHeight="false" outlineLevel="0" collapsed="false">
      <c r="A979" s="3" t="s">
        <v>2769</v>
      </c>
      <c r="B979" s="3" t="s">
        <v>2097</v>
      </c>
      <c r="C979" s="3"/>
      <c r="D979" s="4" t="str">
        <f aca="false">IF(AND(EXACT(B979,C979),NOT(AND(ISBLANK(B979),ISBLANK(C979)))), "Common", "")</f>
        <v/>
      </c>
    </row>
    <row r="980" customFormat="false" ht="15.75" hidden="false" customHeight="false" outlineLevel="0" collapsed="false">
      <c r="A980" s="3" t="s">
        <v>2769</v>
      </c>
      <c r="B980" s="3" t="s">
        <v>2126</v>
      </c>
      <c r="D980" s="4" t="str">
        <f aca="false">IF(AND(EXACT(B980,C980),NOT(AND(ISBLANK(B980),ISBLANK(C980)))), "Common", "")</f>
        <v/>
      </c>
    </row>
    <row r="981" customFormat="false" ht="15.75" hidden="false" customHeight="false" outlineLevel="0" collapsed="false">
      <c r="A981" s="3" t="s">
        <v>2771</v>
      </c>
      <c r="B981" s="3"/>
      <c r="C981" s="3" t="s">
        <v>2049</v>
      </c>
      <c r="D981" s="4" t="str">
        <f aca="false">IF(AND(EXACT(B981,C981),NOT(AND(ISBLANK(B981),ISBLANK(C981)))), "Common", "")</f>
        <v/>
      </c>
    </row>
    <row r="982" customFormat="false" ht="15.75" hidden="false" customHeight="false" outlineLevel="0" collapsed="false">
      <c r="A982" s="3" t="s">
        <v>2771</v>
      </c>
      <c r="B982" s="3"/>
      <c r="C982" s="3" t="s">
        <v>2114</v>
      </c>
      <c r="D982" s="4" t="str">
        <f aca="false">IF(AND(EXACT(B982,C982),NOT(AND(ISBLANK(B982),ISBLANK(C982)))), "Common", "")</f>
        <v/>
      </c>
    </row>
    <row r="983" customFormat="false" ht="15.75" hidden="false" customHeight="false" outlineLevel="0" collapsed="false">
      <c r="A983" s="3" t="s">
        <v>2770</v>
      </c>
      <c r="B983" s="3" t="s">
        <v>2468</v>
      </c>
      <c r="C983" s="3" t="s">
        <v>2468</v>
      </c>
      <c r="D983" s="4" t="str">
        <f aca="false">IF(AND(EXACT(B983,C983),NOT(AND(ISBLANK(B983),ISBLANK(C983)))), "Common", "")</f>
        <v>Common</v>
      </c>
    </row>
    <row r="984" customFormat="false" ht="15.75" hidden="false" customHeight="false" outlineLevel="0" collapsed="false">
      <c r="A984" s="3" t="s">
        <v>2770</v>
      </c>
      <c r="B984" s="3" t="s">
        <v>2483</v>
      </c>
      <c r="C984" s="3" t="s">
        <v>2483</v>
      </c>
      <c r="D984" s="4" t="str">
        <f aca="false">IF(AND(EXACT(B984,C984),NOT(AND(ISBLANK(B984),ISBLANK(C984)))), "Common", "")</f>
        <v>Common</v>
      </c>
    </row>
    <row r="985" customFormat="false" ht="15.75" hidden="false" customHeight="false" outlineLevel="0" collapsed="false">
      <c r="A985" s="3" t="s">
        <v>2770</v>
      </c>
      <c r="B985" s="3" t="s">
        <v>2485</v>
      </c>
      <c r="C985" s="3" t="s">
        <v>2485</v>
      </c>
      <c r="D985" s="4" t="str">
        <f aca="false">IF(AND(EXACT(B985,C985),NOT(AND(ISBLANK(B985),ISBLANK(C985)))), "Common", "")</f>
        <v>Common</v>
      </c>
    </row>
    <row r="986" customFormat="false" ht="15.75" hidden="false" customHeight="false" outlineLevel="0" collapsed="false">
      <c r="A986" s="3" t="s">
        <v>2770</v>
      </c>
      <c r="B986" s="3" t="s">
        <v>2456</v>
      </c>
      <c r="C986" s="3" t="s">
        <v>2456</v>
      </c>
      <c r="D986" s="4" t="str">
        <f aca="false">IF(AND(EXACT(B986,C986),NOT(AND(ISBLANK(B986),ISBLANK(C986)))), "Common", "")</f>
        <v>Common</v>
      </c>
    </row>
    <row r="987" customFormat="false" ht="15.75" hidden="false" customHeight="false" outlineLevel="0" collapsed="false">
      <c r="A987" s="3" t="s">
        <v>2770</v>
      </c>
      <c r="B987" s="3" t="s">
        <v>2437</v>
      </c>
      <c r="C987" s="3" t="s">
        <v>2437</v>
      </c>
      <c r="D987" s="4" t="str">
        <f aca="false">IF(AND(EXACT(B987,C987),NOT(AND(ISBLANK(B987),ISBLANK(C987)))), "Common", "")</f>
        <v>Common</v>
      </c>
    </row>
    <row r="988" customFormat="false" ht="15.75" hidden="false" customHeight="false" outlineLevel="0" collapsed="false">
      <c r="A988" s="3" t="s">
        <v>2770</v>
      </c>
      <c r="B988" s="3" t="s">
        <v>2519</v>
      </c>
      <c r="C988" s="3" t="s">
        <v>2519</v>
      </c>
      <c r="D988" s="4" t="str">
        <f aca="false">IF(AND(EXACT(B988,C988),NOT(AND(ISBLANK(B988),ISBLANK(C988)))), "Common", "")</f>
        <v>Common</v>
      </c>
    </row>
    <row r="989" customFormat="false" ht="15.75" hidden="false" customHeight="false" outlineLevel="0" collapsed="false">
      <c r="A989" s="3" t="s">
        <v>2770</v>
      </c>
      <c r="B989" s="3" t="s">
        <v>2446</v>
      </c>
      <c r="C989" s="3" t="s">
        <v>2446</v>
      </c>
      <c r="D989" s="4" t="str">
        <f aca="false">IF(AND(EXACT(B989,C989),NOT(AND(ISBLANK(B989),ISBLANK(C989)))), "Common", "")</f>
        <v>Common</v>
      </c>
    </row>
    <row r="990" customFormat="false" ht="15.75" hidden="false" customHeight="false" outlineLevel="0" collapsed="false">
      <c r="A990" s="3" t="s">
        <v>2770</v>
      </c>
      <c r="B990" s="3" t="s">
        <v>2433</v>
      </c>
      <c r="C990" s="3"/>
      <c r="D990" s="4" t="str">
        <f aca="false">IF(AND(EXACT(B990,C990),NOT(AND(ISBLANK(B990),ISBLANK(C990)))), "Common", "")</f>
        <v/>
      </c>
    </row>
    <row r="991" customFormat="false" ht="15.75" hidden="false" customHeight="false" outlineLevel="0" collapsed="false">
      <c r="A991" s="3" t="s">
        <v>2770</v>
      </c>
      <c r="B991" s="3"/>
      <c r="C991" s="3" t="s">
        <v>2563</v>
      </c>
      <c r="D991" s="4" t="str">
        <f aca="false">IF(AND(EXACT(B991,C991),NOT(AND(ISBLANK(B991),ISBLANK(C991)))), "Common", "")</f>
        <v/>
      </c>
    </row>
    <row r="992" customFormat="false" ht="15.75" hidden="false" customHeight="false" outlineLevel="0" collapsed="false">
      <c r="A992" s="3" t="s">
        <v>2770</v>
      </c>
      <c r="B992" s="3"/>
      <c r="C992" s="3" t="s">
        <v>2564</v>
      </c>
      <c r="D992" s="4" t="str">
        <f aca="false">IF(AND(EXACT(B992,C992),NOT(AND(ISBLANK(B992),ISBLANK(C992)))), "Common", "")</f>
        <v/>
      </c>
    </row>
    <row r="993" customFormat="false" ht="15.75" hidden="false" customHeight="false" outlineLevel="0" collapsed="false">
      <c r="A993" s="3" t="s">
        <v>2770</v>
      </c>
      <c r="B993" s="3"/>
      <c r="C993" s="3" t="s">
        <v>2565</v>
      </c>
      <c r="D993" s="4" t="str">
        <f aca="false">IF(AND(EXACT(B993,C993),NOT(AND(ISBLANK(B993),ISBLANK(C993)))), "Common", "")</f>
        <v/>
      </c>
    </row>
    <row r="994" customFormat="false" ht="15.75" hidden="false" customHeight="false" outlineLevel="0" collapsed="false">
      <c r="A994" s="3" t="s">
        <v>2770</v>
      </c>
      <c r="B994" s="3"/>
      <c r="C994" s="3" t="s">
        <v>2567</v>
      </c>
      <c r="D994" s="4" t="str">
        <f aca="false">IF(AND(EXACT(B994,C994),NOT(AND(ISBLANK(B994),ISBLANK(C994)))), "Common", "")</f>
        <v/>
      </c>
    </row>
    <row r="995" customFormat="false" ht="15.75" hidden="false" customHeight="false" outlineLevel="0" collapsed="false">
      <c r="A995" s="3" t="s">
        <v>2770</v>
      </c>
      <c r="B995" s="3"/>
      <c r="C995" s="3" t="s">
        <v>2574</v>
      </c>
      <c r="D995" s="4" t="str">
        <f aca="false">IF(AND(EXACT(B995,C995),NOT(AND(ISBLANK(B995),ISBLANK(C995)))), "Common", "")</f>
        <v/>
      </c>
    </row>
    <row r="996" customFormat="false" ht="15.75" hidden="false" customHeight="false" outlineLevel="0" collapsed="false">
      <c r="A996" s="3" t="s">
        <v>2770</v>
      </c>
      <c r="B996" s="3"/>
      <c r="C996" s="3" t="s">
        <v>2575</v>
      </c>
      <c r="D996" s="4" t="str">
        <f aca="false">IF(AND(EXACT(B996,C996),NOT(AND(ISBLANK(B996),ISBLANK(C996)))), "Common", "")</f>
        <v/>
      </c>
    </row>
    <row r="997" customFormat="false" ht="15.75" hidden="false" customHeight="false" outlineLevel="0" collapsed="false">
      <c r="A997" s="3" t="s">
        <v>2770</v>
      </c>
      <c r="C997" s="3" t="s">
        <v>2576</v>
      </c>
      <c r="D997" s="4" t="str">
        <f aca="false">IF(AND(EXACT(B997,C997),NOT(AND(ISBLANK(B997),ISBLANK(C997)))), "Common", "")</f>
        <v/>
      </c>
    </row>
    <row r="998" customFormat="false" ht="15.75" hidden="false" customHeight="false" outlineLevel="0" collapsed="false">
      <c r="A998" s="3" t="s">
        <v>2770</v>
      </c>
      <c r="B998" s="3"/>
      <c r="C998" s="3" t="s">
        <v>2577</v>
      </c>
      <c r="D998" s="4" t="str">
        <f aca="false">IF(AND(EXACT(B998,C998),NOT(AND(ISBLANK(B998),ISBLANK(C998)))), "Common", "")</f>
        <v/>
      </c>
    </row>
    <row r="999" customFormat="false" ht="15.75" hidden="false" customHeight="false" outlineLevel="0" collapsed="false">
      <c r="A999" s="3" t="s">
        <v>2770</v>
      </c>
      <c r="B999" s="3"/>
      <c r="C999" s="3" t="s">
        <v>2581</v>
      </c>
      <c r="D999" s="4" t="str">
        <f aca="false">IF(AND(EXACT(B999,C999),NOT(AND(ISBLANK(B999),ISBLANK(C999)))), "Common", "")</f>
        <v/>
      </c>
    </row>
    <row r="1000" customFormat="false" ht="15.75" hidden="false" customHeight="false" outlineLevel="0" collapsed="false">
      <c r="A1000" s="3" t="s">
        <v>2770</v>
      </c>
      <c r="C1000" s="3" t="s">
        <v>2583</v>
      </c>
      <c r="D1000" s="4" t="str">
        <f aca="false">IF(AND(EXACT(B1000,C1000),NOT(AND(ISBLANK(B1000),ISBLANK(C1000)))), "Common", "")</f>
        <v/>
      </c>
    </row>
    <row r="1001" customFormat="false" ht="15.75" hidden="false" customHeight="false" outlineLevel="0" collapsed="false">
      <c r="A1001" s="3" t="s">
        <v>2770</v>
      </c>
      <c r="B1001" s="3"/>
      <c r="C1001" s="3" t="s">
        <v>2584</v>
      </c>
      <c r="D1001" s="4" t="str">
        <f aca="false">IF(AND(EXACT(B1001,C1001),NOT(AND(ISBLANK(B1001),ISBLANK(C1001)))), "Common", "")</f>
        <v/>
      </c>
    </row>
    <row r="1002" customFormat="false" ht="15.75" hidden="false" customHeight="false" outlineLevel="0" collapsed="false">
      <c r="A1002" s="3" t="s">
        <v>2770</v>
      </c>
      <c r="C1002" s="3" t="s">
        <v>2585</v>
      </c>
      <c r="D1002" s="4" t="str">
        <f aca="false">IF(AND(EXACT(B1002,C1002),NOT(AND(ISBLANK(B1002),ISBLANK(C1002)))), "Common", "")</f>
        <v/>
      </c>
    </row>
    <row r="1003" customFormat="false" ht="15.75" hidden="false" customHeight="false" outlineLevel="0" collapsed="false">
      <c r="A1003" s="3" t="s">
        <v>2770</v>
      </c>
      <c r="B1003" s="3"/>
      <c r="C1003" s="3" t="s">
        <v>2594</v>
      </c>
      <c r="D1003" s="4" t="str">
        <f aca="false">IF(AND(EXACT(B1003,C1003),NOT(AND(ISBLANK(B1003),ISBLANK(C1003)))), "Common", "")</f>
        <v/>
      </c>
    </row>
    <row r="1004" customFormat="false" ht="15.75" hidden="false" customHeight="false" outlineLevel="0" collapsed="false">
      <c r="A1004" s="3" t="s">
        <v>2770</v>
      </c>
      <c r="B1004" s="3"/>
      <c r="D1004" s="4" t="str">
        <f aca="false">IF(AND(EXACT(B1004,C1004),NOT(AND(ISBLANK(B1004),ISBLANK(C1004)))), "Common", "")</f>
        <v/>
      </c>
    </row>
    <row r="1005" customFormat="false" ht="15.75" hidden="false" customHeight="false" outlineLevel="0" collapsed="false">
      <c r="A1005" s="3" t="s">
        <v>2770</v>
      </c>
      <c r="B1005" s="3"/>
      <c r="C1005" s="3"/>
      <c r="D1005" s="4" t="str">
        <f aca="false">IF(AND(EXACT(B1005,C1005),NOT(AND(ISBLANK(B1005),ISBLANK(C1005)))), "Common", "")</f>
        <v/>
      </c>
    </row>
    <row r="1006" customFormat="false" ht="15.75" hidden="false" customHeight="false" outlineLevel="0" collapsed="false">
      <c r="A1006" s="3" t="s">
        <v>2770</v>
      </c>
      <c r="B1006" s="3"/>
      <c r="C1006" s="3" t="s">
        <v>2586</v>
      </c>
      <c r="D1006" s="4" t="str">
        <f aca="false">IF(AND(EXACT(B1006,C1006),NOT(AND(ISBLANK(B1006),ISBLANK(C1006)))), "Common", "")</f>
        <v/>
      </c>
    </row>
    <row r="1007" customFormat="false" ht="15.75" hidden="false" customHeight="false" outlineLevel="0" collapsed="false">
      <c r="A1007" s="3" t="s">
        <v>2769</v>
      </c>
      <c r="B1007" s="3"/>
      <c r="C1007" s="3" t="s">
        <v>2622</v>
      </c>
      <c r="D1007" s="4" t="str">
        <f aca="false">IF(AND(EXACT(B1007,C1007),NOT(AND(ISBLANK(B1007),ISBLANK(C1007)))), "Common", "")</f>
        <v/>
      </c>
    </row>
    <row r="1008" customFormat="false" ht="15.75" hidden="false" customHeight="false" outlineLevel="0" collapsed="false">
      <c r="A1008" s="3" t="s">
        <v>2772</v>
      </c>
      <c r="B1008" s="3" t="s">
        <v>1505</v>
      </c>
      <c r="C1008" s="3"/>
      <c r="D1008" s="4" t="str">
        <f aca="false">IF(AND(EXACT(B1008,C1008),NOT(AND(ISBLANK(B1008),ISBLANK(C1008)))), "Common", "")</f>
        <v/>
      </c>
    </row>
    <row r="1009" customFormat="false" ht="15.75" hidden="false" customHeight="false" outlineLevel="0" collapsed="false">
      <c r="A1009" s="3" t="s">
        <v>2772</v>
      </c>
      <c r="B1009" s="3" t="s">
        <v>1493</v>
      </c>
      <c r="C1009" s="3"/>
      <c r="D1009" s="4" t="str">
        <f aca="false">IF(AND(EXACT(B1009,C1009),NOT(AND(ISBLANK(B1009),ISBLANK(C1009)))), "Common", "")</f>
        <v/>
      </c>
    </row>
    <row r="1010" customFormat="false" ht="15.75" hidden="false" customHeight="false" outlineLevel="0" collapsed="false">
      <c r="A1010" s="3" t="s">
        <v>2773</v>
      </c>
      <c r="B1010" s="3" t="s">
        <v>1784</v>
      </c>
      <c r="C1010" s="3"/>
      <c r="D1010" s="4" t="str">
        <f aca="false">IF(AND(EXACT(B1010,C1010),NOT(AND(ISBLANK(B1010),ISBLANK(C1010)))), "Common", "")</f>
        <v/>
      </c>
    </row>
    <row r="1011" customFormat="false" ht="15.75" hidden="false" customHeight="false" outlineLevel="0" collapsed="false">
      <c r="A1011" s="3" t="s">
        <v>2772</v>
      </c>
      <c r="B1011" s="3" t="s">
        <v>1970</v>
      </c>
      <c r="C1011" s="3" t="s">
        <v>1970</v>
      </c>
      <c r="D1011" s="4" t="str">
        <f aca="false">IF(AND(EXACT(B1011,C1011),NOT(AND(ISBLANK(B1011),ISBLANK(C1011)))), "Common", "")</f>
        <v>Common</v>
      </c>
    </row>
    <row r="1012" customFormat="false" ht="15.75" hidden="false" customHeight="false" outlineLevel="0" collapsed="false">
      <c r="A1012" s="3" t="s">
        <v>2772</v>
      </c>
      <c r="B1012" s="3" t="s">
        <v>2002</v>
      </c>
      <c r="C1012" s="3" t="s">
        <v>2002</v>
      </c>
      <c r="D1012" s="4" t="str">
        <f aca="false">IF(AND(EXACT(B1012,C1012),NOT(AND(ISBLANK(B1012),ISBLANK(C1012)))), "Common", "")</f>
        <v>Common</v>
      </c>
    </row>
    <row r="1013" customFormat="false" ht="15.75" hidden="false" customHeight="false" outlineLevel="0" collapsed="false">
      <c r="A1013" s="3" t="s">
        <v>2772</v>
      </c>
      <c r="B1013" s="3"/>
      <c r="C1013" s="3" t="s">
        <v>2003</v>
      </c>
      <c r="D1013" s="4" t="str">
        <f aca="false">IF(AND(EXACT(B1013,C1013),NOT(AND(ISBLANK(B1013),ISBLANK(C1013)))), "Common", "")</f>
        <v/>
      </c>
    </row>
    <row r="1014" customFormat="false" ht="15.75" hidden="false" customHeight="false" outlineLevel="0" collapsed="false">
      <c r="A1014" s="3" t="s">
        <v>2774</v>
      </c>
      <c r="B1014" s="3"/>
      <c r="C1014" s="3" t="s">
        <v>2032</v>
      </c>
      <c r="D1014" s="4" t="str">
        <f aca="false">IF(AND(EXACT(B1014,C1014),NOT(AND(ISBLANK(B1014),ISBLANK(C1014)))), "Common", "")</f>
        <v/>
      </c>
    </row>
    <row r="1015" customFormat="false" ht="15.75" hidden="false" customHeight="false" outlineLevel="0" collapsed="false">
      <c r="A1015" s="3" t="s">
        <v>2772</v>
      </c>
      <c r="B1015" s="3" t="s">
        <v>2272</v>
      </c>
      <c r="C1015" s="3" t="s">
        <v>2272</v>
      </c>
      <c r="D1015" s="4" t="str">
        <f aca="false">IF(AND(EXACT(B1015,C1015),NOT(AND(ISBLANK(B1015),ISBLANK(C1015)))), "Common", "")</f>
        <v>Common</v>
      </c>
    </row>
    <row r="1016" customFormat="false" ht="15.75" hidden="false" customHeight="false" outlineLevel="0" collapsed="false">
      <c r="A1016" s="3" t="s">
        <v>2772</v>
      </c>
      <c r="B1016" s="3"/>
      <c r="C1016" s="3" t="s">
        <v>2455</v>
      </c>
      <c r="D1016" s="4" t="str">
        <f aca="false">IF(AND(EXACT(B1016,C1016),NOT(AND(ISBLANK(B1016),ISBLANK(C1016)))), "Common", "")</f>
        <v/>
      </c>
    </row>
    <row r="1017" customFormat="false" ht="15.75" hidden="false" customHeight="false" outlineLevel="0" collapsed="false">
      <c r="A1017" s="3" t="s">
        <v>2773</v>
      </c>
      <c r="B1017" s="3" t="s">
        <v>1918</v>
      </c>
      <c r="C1017" s="3" t="s">
        <v>2489</v>
      </c>
      <c r="D1017" s="4" t="str">
        <f aca="false">IF(AND(EXACT(B1017,C1017),NOT(AND(ISBLANK(B1017),ISBLANK(C1017)))), "Common", "")</f>
        <v/>
      </c>
    </row>
    <row r="1018" customFormat="false" ht="15.75" hidden="false" customHeight="false" outlineLevel="0" collapsed="false">
      <c r="A1018" s="3" t="s">
        <v>2773</v>
      </c>
      <c r="B1018" s="3"/>
      <c r="C1018" s="3" t="s">
        <v>2595</v>
      </c>
      <c r="D1018" s="4" t="str">
        <f aca="false">IF(AND(EXACT(B1018,C1018),NOT(AND(ISBLANK(B1018),ISBLANK(C1018)))), "Common", "")</f>
        <v/>
      </c>
    </row>
    <row r="1019" customFormat="false" ht="15.75" hidden="false" customHeight="false" outlineLevel="0" collapsed="false">
      <c r="A1019" s="3" t="s">
        <v>2773</v>
      </c>
      <c r="B1019" s="3"/>
      <c r="C1019" s="3" t="s">
        <v>2491</v>
      </c>
      <c r="D1019" s="4" t="str">
        <f aca="false">IF(AND(EXACT(B1019,C1019),NOT(AND(ISBLANK(B1019),ISBLANK(C1019)))), "Common", "")</f>
        <v/>
      </c>
    </row>
    <row r="1020" customFormat="false" ht="15.75" hidden="false" customHeight="false" outlineLevel="0" collapsed="false">
      <c r="A1020" s="3" t="s">
        <v>2773</v>
      </c>
      <c r="B1020" s="3"/>
      <c r="C1020" s="3" t="s">
        <v>2492</v>
      </c>
      <c r="D1020" s="4" t="str">
        <f aca="false">IF(AND(EXACT(B1020,C1020),NOT(AND(ISBLANK(B1020),ISBLANK(C1020)))), "Common", "")</f>
        <v/>
      </c>
    </row>
    <row r="1021" customFormat="false" ht="15.75" hidden="false" customHeight="false" outlineLevel="0" collapsed="false">
      <c r="A1021" s="3" t="s">
        <v>2773</v>
      </c>
      <c r="B1021" s="3"/>
      <c r="C1021" s="3" t="s">
        <v>2596</v>
      </c>
      <c r="D1021" s="4" t="str">
        <f aca="false">IF(AND(EXACT(B1021,C1021),NOT(AND(ISBLANK(B1021),ISBLANK(C1021)))), "Common", "")</f>
        <v/>
      </c>
    </row>
    <row r="1022" customFormat="false" ht="15.75" hidden="false" customHeight="false" outlineLevel="0" collapsed="false">
      <c r="A1022" s="3" t="s">
        <v>2773</v>
      </c>
      <c r="C1022" s="3" t="s">
        <v>2597</v>
      </c>
      <c r="D1022" s="4" t="str">
        <f aca="false">IF(AND(EXACT(B1022,C1022),NOT(AND(ISBLANK(B1022),ISBLANK(C1022)))), "Common", "")</f>
        <v/>
      </c>
    </row>
    <row r="1023" customFormat="false" ht="15.75" hidden="false" customHeight="false" outlineLevel="0" collapsed="false">
      <c r="A1023" s="3" t="s">
        <v>2773</v>
      </c>
      <c r="C1023" s="3" t="s">
        <v>2494</v>
      </c>
      <c r="D1023" s="4" t="str">
        <f aca="false">IF(AND(EXACT(B1023,C1023),NOT(AND(ISBLANK(B1023),ISBLANK(C1023)))), "Common", "")</f>
        <v/>
      </c>
    </row>
    <row r="1024" customFormat="false" ht="15.75" hidden="false" customHeight="false" outlineLevel="0" collapsed="false">
      <c r="A1024" s="3" t="s">
        <v>2773</v>
      </c>
      <c r="C1024" s="3" t="s">
        <v>2598</v>
      </c>
      <c r="D1024" s="4" t="str">
        <f aca="false">IF(AND(EXACT(B1024,C1024),NOT(AND(ISBLANK(B1024),ISBLANK(C1024)))), "Common", "")</f>
        <v/>
      </c>
    </row>
    <row r="1025" customFormat="false" ht="15.75" hidden="false" customHeight="false" outlineLevel="0" collapsed="false">
      <c r="A1025" s="3" t="s">
        <v>2773</v>
      </c>
      <c r="C1025" s="3" t="s">
        <v>2495</v>
      </c>
      <c r="D1025" s="4" t="str">
        <f aca="false">IF(AND(EXACT(B1025,C1025),NOT(AND(ISBLANK(B1025),ISBLANK(C1025)))), "Common", "")</f>
        <v/>
      </c>
    </row>
    <row r="1026" customFormat="false" ht="15.75" hidden="false" customHeight="false" outlineLevel="0" collapsed="false">
      <c r="A1026" s="3" t="s">
        <v>2773</v>
      </c>
      <c r="C1026" s="3" t="s">
        <v>2496</v>
      </c>
      <c r="D1026" s="4" t="str">
        <f aca="false">IF(AND(EXACT(B1026,C1026),NOT(AND(ISBLANK(B1026),ISBLANK(C1026)))), "Common", "")</f>
        <v/>
      </c>
    </row>
    <row r="1027" customFormat="false" ht="15.75" hidden="false" customHeight="false" outlineLevel="0" collapsed="false">
      <c r="A1027" s="3" t="s">
        <v>2773</v>
      </c>
      <c r="B1027" s="3" t="s">
        <v>2498</v>
      </c>
      <c r="C1027" s="3" t="s">
        <v>2499</v>
      </c>
      <c r="D1027" s="4" t="str">
        <f aca="false">IF(AND(EXACT(B1027,C1027),NOT(AND(ISBLANK(B1027),ISBLANK(C1027)))), "Common", "")</f>
        <v/>
      </c>
    </row>
    <row r="1028" customFormat="false" ht="15.75" hidden="false" customHeight="false" outlineLevel="0" collapsed="false">
      <c r="A1028" s="3" t="s">
        <v>2773</v>
      </c>
      <c r="B1028" s="3" t="s">
        <v>2501</v>
      </c>
      <c r="C1028" s="3" t="s">
        <v>2599</v>
      </c>
      <c r="D1028" s="4" t="str">
        <f aca="false">IF(AND(EXACT(B1028,C1028),NOT(AND(ISBLANK(B1028),ISBLANK(C1028)))), "Common", "")</f>
        <v/>
      </c>
    </row>
    <row r="1029" customFormat="false" ht="15.75" hidden="false" customHeight="false" outlineLevel="0" collapsed="false">
      <c r="A1029" s="3" t="s">
        <v>2773</v>
      </c>
      <c r="B1029" s="3" t="s">
        <v>2489</v>
      </c>
      <c r="C1029" s="3" t="s">
        <v>2489</v>
      </c>
      <c r="D1029" s="4" t="str">
        <f aca="false">IF(AND(EXACT(B1029,C1029),NOT(AND(ISBLANK(B1029),ISBLANK(C1029)))), "Common", "")</f>
        <v>Common</v>
      </c>
    </row>
    <row r="1030" customFormat="false" ht="15.75" hidden="false" customHeight="false" outlineLevel="0" collapsed="false">
      <c r="A1030" s="3" t="s">
        <v>2773</v>
      </c>
      <c r="B1030" s="3" t="s">
        <v>2491</v>
      </c>
      <c r="C1030" s="3" t="s">
        <v>2491</v>
      </c>
      <c r="D1030" s="4" t="str">
        <f aca="false">IF(AND(EXACT(B1030,C1030),NOT(AND(ISBLANK(B1030),ISBLANK(C1030)))), "Common", "")</f>
        <v>Common</v>
      </c>
    </row>
    <row r="1031" customFormat="false" ht="15.75" hidden="false" customHeight="false" outlineLevel="0" collapsed="false">
      <c r="A1031" s="3" t="s">
        <v>2773</v>
      </c>
      <c r="B1031" s="3" t="s">
        <v>2492</v>
      </c>
      <c r="C1031" s="3" t="s">
        <v>2492</v>
      </c>
      <c r="D1031" s="4" t="str">
        <f aca="false">IF(AND(EXACT(B1031,C1031),NOT(AND(ISBLANK(B1031),ISBLANK(C1031)))), "Common", "")</f>
        <v>Common</v>
      </c>
    </row>
    <row r="1032" customFormat="false" ht="15.75" hidden="false" customHeight="false" outlineLevel="0" collapsed="false">
      <c r="A1032" s="3" t="s">
        <v>2773</v>
      </c>
      <c r="B1032" s="3" t="s">
        <v>2494</v>
      </c>
      <c r="C1032" s="3" t="s">
        <v>2494</v>
      </c>
      <c r="D1032" s="4" t="str">
        <f aca="false">IF(AND(EXACT(B1032,C1032),NOT(AND(ISBLANK(B1032),ISBLANK(C1032)))), "Common", "")</f>
        <v>Common</v>
      </c>
    </row>
    <row r="1033" customFormat="false" ht="15.75" hidden="false" customHeight="false" outlineLevel="0" collapsed="false">
      <c r="A1033" s="3" t="s">
        <v>2773</v>
      </c>
      <c r="B1033" s="3" t="s">
        <v>2495</v>
      </c>
      <c r="C1033" s="3" t="s">
        <v>2495</v>
      </c>
      <c r="D1033" s="4" t="str">
        <f aca="false">IF(AND(EXACT(B1033,C1033),NOT(AND(ISBLANK(B1033),ISBLANK(C1033)))), "Common", "")</f>
        <v>Common</v>
      </c>
    </row>
    <row r="1034" customFormat="false" ht="15.75" hidden="false" customHeight="false" outlineLevel="0" collapsed="false">
      <c r="A1034" s="3" t="s">
        <v>2773</v>
      </c>
      <c r="B1034" s="3" t="s">
        <v>2496</v>
      </c>
      <c r="C1034" s="3" t="s">
        <v>2496</v>
      </c>
      <c r="D1034" s="4" t="str">
        <f aca="false">IF(AND(EXACT(B1034,C1034),NOT(AND(ISBLANK(B1034),ISBLANK(C1034)))), "Common", "")</f>
        <v>Common</v>
      </c>
    </row>
    <row r="1035" customFormat="false" ht="15.75" hidden="false" customHeight="false" outlineLevel="0" collapsed="false">
      <c r="A1035" s="3" t="s">
        <v>2773</v>
      </c>
      <c r="B1035" s="3" t="s">
        <v>2499</v>
      </c>
      <c r="C1035" s="3" t="s">
        <v>2499</v>
      </c>
      <c r="D1035" s="4" t="str">
        <f aca="false">IF(AND(EXACT(B1035,C1035),NOT(AND(ISBLANK(B1035),ISBLANK(C1035)))), "Common", "")</f>
        <v>Common</v>
      </c>
    </row>
    <row r="1036" customFormat="false" ht="15.75" hidden="false" customHeight="false" outlineLevel="0" collapsed="false">
      <c r="A1036" s="3" t="s">
        <v>2773</v>
      </c>
      <c r="B1036" s="3" t="s">
        <v>2454</v>
      </c>
      <c r="C1036" s="3"/>
      <c r="D1036" s="4" t="str">
        <f aca="false">IF(AND(EXACT(B1036,C1036),NOT(AND(ISBLANK(B1036),ISBLANK(C1036)))), "Common", "")</f>
        <v/>
      </c>
    </row>
    <row r="1037" customFormat="false" ht="15.75" hidden="false" customHeight="false" outlineLevel="0" collapsed="false">
      <c r="A1037" s="3" t="s">
        <v>2773</v>
      </c>
      <c r="C1037" s="3" t="s">
        <v>2572</v>
      </c>
      <c r="D1037" s="4" t="str">
        <f aca="false">IF(AND(EXACT(B1037,C1037),NOT(AND(ISBLANK(B1037),ISBLANK(C1037)))), "Common", "")</f>
        <v/>
      </c>
    </row>
    <row r="1038" customFormat="false" ht="15.75" hidden="false" customHeight="false" outlineLevel="0" collapsed="false">
      <c r="A1038" s="3" t="s">
        <v>2775</v>
      </c>
      <c r="B1038" s="3" t="s">
        <v>2503</v>
      </c>
      <c r="C1038" s="3" t="s">
        <v>2503</v>
      </c>
      <c r="D1038" s="4" t="str">
        <f aca="false">IF(AND(EXACT(B1038,C1038),NOT(AND(ISBLANK(B1038),ISBLANK(C1038)))), "Common", "")</f>
        <v>Common</v>
      </c>
    </row>
    <row r="1039" customFormat="false" ht="15.75" hidden="false" customHeight="false" outlineLevel="0" collapsed="false">
      <c r="A1039" s="3" t="s">
        <v>2773</v>
      </c>
      <c r="C1039" s="17" t="s">
        <v>1949</v>
      </c>
      <c r="D1039" s="4" t="str">
        <f aca="false">IF(AND(EXACT(B1039,C1039),NOT(AND(ISBLANK(B1039),ISBLANK(C1039)))), "Common", "")</f>
        <v/>
      </c>
    </row>
    <row r="1040" customFormat="false" ht="15.75" hidden="false" customHeight="false" outlineLevel="0" collapsed="false">
      <c r="A1040" s="3" t="s">
        <v>2776</v>
      </c>
      <c r="B1040" s="3" t="s">
        <v>2431</v>
      </c>
    </row>
    <row r="1041" customFormat="false" ht="15.75" hidden="false" customHeight="false" outlineLevel="0" collapsed="false">
      <c r="A1041" s="3" t="s">
        <v>2776</v>
      </c>
      <c r="B1041" s="3" t="s">
        <v>2486</v>
      </c>
      <c r="C1041" s="3" t="s">
        <v>2486</v>
      </c>
    </row>
    <row r="1042" customFormat="false" ht="15.75" hidden="false" customHeight="false" outlineLevel="0" collapsed="false">
      <c r="A1042" s="3" t="s">
        <v>2776</v>
      </c>
      <c r="B1042" s="3" t="s">
        <v>2488</v>
      </c>
      <c r="C1042" s="3" t="s">
        <v>2488</v>
      </c>
    </row>
    <row r="1043" customFormat="false" ht="15.75" hidden="false" customHeight="false" outlineLevel="0" collapsed="false">
      <c r="A1043" s="3"/>
      <c r="B1043" s="3"/>
    </row>
    <row r="1044" customFormat="false" ht="15.75" hidden="false" customHeight="false" outlineLevel="0" collapsed="false">
      <c r="A1044" s="4"/>
      <c r="C1044" s="3"/>
      <c r="D1044" s="4" t="str">
        <f aca="false">IF(AND(EXACT(B536,C1044),NOT(AND(ISBLANK(B536),ISBLANK(C1044)))), "Common", "")</f>
        <v/>
      </c>
    </row>
    <row r="1045" customFormat="false" ht="15.75" hidden="false" customHeight="false" outlineLevel="0" collapsed="false">
      <c r="A1045" s="4"/>
      <c r="C1045" s="3"/>
    </row>
    <row r="1046" customFormat="false" ht="15.75" hidden="false" customHeight="false" outlineLevel="0" collapsed="false">
      <c r="A1046" s="3"/>
      <c r="C1046" s="3"/>
    </row>
    <row r="1047" customFormat="false" ht="15.75" hidden="false" customHeight="false" outlineLevel="0" collapsed="false">
      <c r="A1047" s="3"/>
      <c r="C1047" s="3"/>
    </row>
    <row r="1048" customFormat="false" ht="15.75" hidden="false" customHeight="false" outlineLevel="0" collapsed="false">
      <c r="A1048" s="3"/>
      <c r="C1048" s="3"/>
    </row>
    <row r="1049" customFormat="false" ht="15.75" hidden="false" customHeight="false" outlineLevel="0" collapsed="false">
      <c r="A1049" s="3"/>
      <c r="C1049" s="3"/>
    </row>
    <row r="1050" customFormat="false" ht="15.75" hidden="false" customHeight="false" outlineLevel="0" collapsed="false">
      <c r="A1050" s="3"/>
      <c r="C1050" s="3"/>
    </row>
    <row r="1051" customFormat="false" ht="15.75" hidden="false" customHeight="false" outlineLevel="0" collapsed="false">
      <c r="A1051" s="3"/>
      <c r="C1051" s="3"/>
      <c r="D1051" s="4" t="str">
        <f aca="false">IF(AND(EXACT(B1051,C1051),NOT(AND(ISBLANK(B1051),ISBLANK(C1051)))), "Common", "")</f>
        <v/>
      </c>
    </row>
    <row r="1052" customFormat="false" ht="15.75" hidden="false" customHeight="false" outlineLevel="0" collapsed="false">
      <c r="A1052" s="3"/>
      <c r="C1052" s="3"/>
      <c r="D1052" s="4" t="str">
        <f aca="false">IF(AND(EXACT(B1052,C1052),NOT(AND(ISBLANK(B1052),ISBLANK(C1052)))), "Common", "")</f>
        <v/>
      </c>
    </row>
    <row r="1053" customFormat="false" ht="15.75" hidden="false" customHeight="false" outlineLevel="0" collapsed="false">
      <c r="A1053" s="4"/>
      <c r="D1053" s="4" t="str">
        <f aca="false">IF(AND(EXACT(B1063,C1063),NOT(AND(ISBLANK(B1063),ISBLANK(C1063)))), "Common", "")</f>
        <v/>
      </c>
    </row>
    <row r="1054" customFormat="false" ht="15.75" hidden="false" customHeight="false" outlineLevel="0" collapsed="false">
      <c r="A1054" s="3" t="s">
        <v>2777</v>
      </c>
      <c r="B1054" s="3" t="s">
        <v>1847</v>
      </c>
      <c r="C1054" s="3"/>
      <c r="D1054" s="4" t="str">
        <f aca="false">IF(AND(EXACT(B1054,C1054),NOT(AND(ISBLANK(B1054),ISBLANK(C1054)))), "Common", "")</f>
        <v/>
      </c>
    </row>
    <row r="1055" customFormat="false" ht="15.75" hidden="false" customHeight="false" outlineLevel="0" collapsed="false">
      <c r="A1055" s="3" t="s">
        <v>2778</v>
      </c>
      <c r="B1055" s="3" t="s">
        <v>1959</v>
      </c>
      <c r="C1055" s="3"/>
      <c r="D1055" s="4" t="str">
        <f aca="false">IF(AND(EXACT(B1055,C1055),NOT(AND(ISBLANK(B1055),ISBLANK(C1055)))), "Common", "")</f>
        <v/>
      </c>
    </row>
    <row r="1056" customFormat="false" ht="15.75" hidden="false" customHeight="false" outlineLevel="0" collapsed="false">
      <c r="A1056" s="3"/>
      <c r="C1056" s="3"/>
      <c r="D1056" s="4" t="str">
        <f aca="false">IF(AND(EXACT(B1056,C1056),NOT(AND(ISBLANK(B1056),ISBLANK(C1056)))), "Common", "")</f>
        <v/>
      </c>
    </row>
    <row r="1057" customFormat="false" ht="15.75" hidden="false" customHeight="false" outlineLevel="0" collapsed="false">
      <c r="A1057" s="3"/>
      <c r="C1057" s="3"/>
      <c r="D1057" s="4" t="str">
        <f aca="false">IF(AND(EXACT(B1057,C1057),NOT(AND(ISBLANK(B1057),ISBLANK(C1057)))), "Common", "")</f>
        <v/>
      </c>
    </row>
    <row r="1058" customFormat="false" ht="15.75" hidden="false" customHeight="false" outlineLevel="0" collapsed="false">
      <c r="A1058" s="3" t="s">
        <v>2777</v>
      </c>
      <c r="C1058" s="3" t="s">
        <v>1810</v>
      </c>
      <c r="D1058" s="4" t="str">
        <f aca="false">IF(AND(EXACT(B1058,C1058),NOT(AND(ISBLANK(B1058),ISBLANK(C1058)))), "Common", "")</f>
        <v/>
      </c>
    </row>
    <row r="1059" customFormat="false" ht="15.75" hidden="false" customHeight="false" outlineLevel="0" collapsed="false">
      <c r="A1059" s="3" t="s">
        <v>2778</v>
      </c>
      <c r="C1059" s="3" t="s">
        <v>1833</v>
      </c>
      <c r="D1059" s="4" t="str">
        <f aca="false">IF(AND(EXACT(B1059,C1059),NOT(AND(ISBLANK(B1059),ISBLANK(C1059)))), "Common", "")</f>
        <v/>
      </c>
    </row>
    <row r="1060" customFormat="false" ht="15.75" hidden="false" customHeight="false" outlineLevel="0" collapsed="false">
      <c r="A1060" s="3" t="s">
        <v>2778</v>
      </c>
      <c r="C1060" s="3" t="s">
        <v>1857</v>
      </c>
      <c r="D1060" s="7" t="e">
        <f aca="false">IF(AND(EXACT(B1060,#REF!),NOT(AND(ISBLANK(B1060),ISBLANK(#REF!)))), "Common", "")</f>
        <v>#REF!</v>
      </c>
    </row>
    <row r="1061" customFormat="false" ht="15.75" hidden="false" customHeight="false" outlineLevel="0" collapsed="false">
      <c r="A1061" s="3" t="s">
        <v>2778</v>
      </c>
      <c r="C1061" s="3" t="s">
        <v>1811</v>
      </c>
      <c r="D1061" s="7" t="e">
        <f aca="false">IF(AND(EXACT(B1061,#REF!),NOT(AND(ISBLANK(B1061),ISBLANK(#REF!)))), "Common", "")</f>
        <v>#REF!</v>
      </c>
    </row>
    <row r="1062" customFormat="false" ht="15.75" hidden="false" customHeight="false" outlineLevel="0" collapsed="false">
      <c r="A1062" s="3" t="s">
        <v>2778</v>
      </c>
      <c r="B1062" s="3" t="s">
        <v>1856</v>
      </c>
      <c r="C1062" s="3" t="s">
        <v>1856</v>
      </c>
    </row>
    <row r="1063" customFormat="false" ht="15.75" hidden="false" customHeight="false" outlineLevel="0" collapsed="false">
      <c r="A1063" s="3" t="s">
        <v>2778</v>
      </c>
      <c r="C1063" s="3" t="s">
        <v>1840</v>
      </c>
    </row>
    <row r="1064" customFormat="false" ht="15.75" hidden="false" customHeight="false" outlineLevel="0" collapsed="false">
      <c r="A1064" s="3" t="s">
        <v>2778</v>
      </c>
      <c r="B1064" s="3"/>
      <c r="C1064" s="3" t="s">
        <v>2338</v>
      </c>
    </row>
    <row r="1065" customFormat="false" ht="15.75" hidden="false" customHeight="false" outlineLevel="0" collapsed="false">
      <c r="A1065" s="3"/>
      <c r="B1065" s="3"/>
      <c r="C1065" s="3"/>
    </row>
    <row r="1066" customFormat="false" ht="15.75" hidden="false" customHeight="false" outlineLevel="0" collapsed="false">
      <c r="A1066" s="3"/>
      <c r="B1066" s="3"/>
      <c r="C1066" s="3"/>
    </row>
    <row r="1067" customFormat="false" ht="15.75" hidden="false" customHeight="false" outlineLevel="0" collapsed="false">
      <c r="A1067" s="3" t="s">
        <v>2779</v>
      </c>
      <c r="B1067" s="3" t="s">
        <v>1718</v>
      </c>
      <c r="C1067" s="3"/>
      <c r="D1067" s="4" t="str">
        <f aca="false">IF(AND(EXACT(B1067,C1067),NOT(AND(ISBLANK(B1067),ISBLANK(C1067)))), "Common", "")</f>
        <v/>
      </c>
    </row>
    <row r="1068" customFormat="false" ht="15.75" hidden="false" customHeight="false" outlineLevel="0" collapsed="false">
      <c r="A1068" s="3" t="s">
        <v>2780</v>
      </c>
      <c r="B1068" s="3"/>
      <c r="C1068" s="3" t="s">
        <v>1674</v>
      </c>
      <c r="D1068" s="4" t="str">
        <f aca="false">IF(AND(EXACT(B1068,C1068),NOT(AND(ISBLANK(B1068),ISBLANK(C1068)))), "Common", "")</f>
        <v/>
      </c>
    </row>
    <row r="1069" customFormat="false" ht="15.75" hidden="false" customHeight="false" outlineLevel="0" collapsed="false">
      <c r="A1069" s="3" t="s">
        <v>2777</v>
      </c>
      <c r="B1069" s="3" t="s">
        <v>1785</v>
      </c>
      <c r="C1069" s="3" t="s">
        <v>1785</v>
      </c>
      <c r="D1069" s="4" t="str">
        <f aca="false">IF(AND(EXACT(B1069,C1069),NOT(AND(ISBLANK(B1069),ISBLANK(C1069)))), "Common", "")</f>
        <v>Common</v>
      </c>
    </row>
    <row r="1070" customFormat="false" ht="15.75" hidden="false" customHeight="false" outlineLevel="0" collapsed="false">
      <c r="A1070" s="3" t="s">
        <v>2781</v>
      </c>
      <c r="B1070" s="3" t="s">
        <v>1819</v>
      </c>
      <c r="C1070" s="3" t="s">
        <v>1819</v>
      </c>
      <c r="D1070" s="4" t="str">
        <f aca="false">IF(AND(EXACT(B1070,C1070),NOT(AND(ISBLANK(B1070),ISBLANK(C1070)))), "Common", "")</f>
        <v>Common</v>
      </c>
    </row>
    <row r="1071" customFormat="false" ht="15.75" hidden="false" customHeight="false" outlineLevel="0" collapsed="false">
      <c r="A1071" s="4"/>
      <c r="D1071" s="4" t="str">
        <f aca="false">IF(AND(EXACT(B1071,C1071),NOT(AND(ISBLANK(B1071),ISBLANK(C1071)))), "Common", "")</f>
        <v/>
      </c>
    </row>
    <row r="1072" customFormat="false" ht="15.75" hidden="false" customHeight="false" outlineLevel="0" collapsed="false">
      <c r="A1072" s="4"/>
      <c r="C1072" s="3"/>
      <c r="D1072" s="4" t="str">
        <f aca="false">IF(AND(EXACT(B1072,C1072),NOT(AND(ISBLANK(B1072),ISBLANK(C1072)))), "Common", "")</f>
        <v/>
      </c>
    </row>
    <row r="1073" customFormat="false" ht="15.75" hidden="false" customHeight="false" outlineLevel="0" collapsed="false">
      <c r="A1073" s="3"/>
      <c r="B1073" s="3"/>
      <c r="C1073" s="3"/>
    </row>
    <row r="1074" customFormat="false" ht="15.75" hidden="false" customHeight="false" outlineLevel="0" collapsed="false">
      <c r="A1074" s="3" t="s">
        <v>2782</v>
      </c>
      <c r="B1074" s="3"/>
      <c r="C1074" s="3"/>
    </row>
    <row r="1075" customFormat="false" ht="15.75" hidden="false" customHeight="false" outlineLevel="0" collapsed="false">
      <c r="A1075" s="3"/>
      <c r="B1075" s="3"/>
      <c r="C1075" s="3"/>
    </row>
    <row r="1076" customFormat="false" ht="15.75" hidden="false" customHeight="false" outlineLevel="0" collapsed="false">
      <c r="A1076" s="3" t="s">
        <v>2783</v>
      </c>
      <c r="B1076" s="3" t="s">
        <v>1845</v>
      </c>
      <c r="C1076" s="3" t="s">
        <v>1845</v>
      </c>
      <c r="D1076" s="4" t="str">
        <f aca="false">IF(AND(EXACT(B1076,C1076),NOT(AND(ISBLANK(B1076),ISBLANK(C1076)))), "Common", "")</f>
        <v>Common</v>
      </c>
    </row>
    <row r="1077" customFormat="false" ht="15.75" hidden="false" customHeight="false" outlineLevel="0" collapsed="false">
      <c r="A1077" s="3" t="s">
        <v>2783</v>
      </c>
      <c r="B1077" s="3" t="s">
        <v>1927</v>
      </c>
      <c r="C1077" s="3"/>
      <c r="D1077" s="4" t="str">
        <f aca="false">IF(AND(EXACT(B1077,C1077),NOT(AND(ISBLANK(B1077),ISBLANK(C1077)))), "Common", "")</f>
        <v/>
      </c>
    </row>
    <row r="1078" customFormat="false" ht="15.75" hidden="false" customHeight="false" outlineLevel="0" collapsed="false">
      <c r="A1078" s="3" t="s">
        <v>2784</v>
      </c>
      <c r="B1078" s="3"/>
      <c r="C1078" s="3" t="s">
        <v>1859</v>
      </c>
      <c r="D1078" s="4" t="str">
        <f aca="false">IF(AND(EXACT(B1078,C1078),NOT(AND(ISBLANK(B1078),ISBLANK(C1078)))), "Common", "")</f>
        <v/>
      </c>
    </row>
    <row r="1079" customFormat="false" ht="15.75" hidden="false" customHeight="false" outlineLevel="0" collapsed="false">
      <c r="A1079" s="3" t="s">
        <v>2785</v>
      </c>
      <c r="B1079" s="3" t="s">
        <v>1930</v>
      </c>
      <c r="C1079" s="3"/>
      <c r="D1079" s="4" t="str">
        <f aca="false">IF(AND(EXACT(B1079,C1079),NOT(AND(ISBLANK(B1079),ISBLANK(C1079)))), "Common", "")</f>
        <v/>
      </c>
    </row>
    <row r="1080" customFormat="false" ht="15.75" hidden="false" customHeight="false" outlineLevel="0" collapsed="false">
      <c r="A1080" s="3" t="s">
        <v>2785</v>
      </c>
      <c r="B1080" s="3" t="s">
        <v>1939</v>
      </c>
      <c r="C1080" s="3"/>
      <c r="D1080" s="4" t="str">
        <f aca="false">IF(AND(EXACT(B1080,C1080),NOT(AND(ISBLANK(B1080),ISBLANK(C1080)))), "Common", "")</f>
        <v/>
      </c>
    </row>
    <row r="1081" customFormat="false" ht="15.75" hidden="false" customHeight="false" outlineLevel="0" collapsed="false">
      <c r="A1081" s="3" t="s">
        <v>2785</v>
      </c>
      <c r="C1081" s="3" t="s">
        <v>1813</v>
      </c>
      <c r="D1081" s="4" t="str">
        <f aca="false">IF(AND(EXACT(B1081,C1081),NOT(AND(ISBLANK(B1081),ISBLANK(C1081)))), "Common", "")</f>
        <v/>
      </c>
    </row>
    <row r="1082" customFormat="false" ht="15.75" hidden="false" customHeight="false" outlineLevel="0" collapsed="false">
      <c r="A1082" s="3" t="s">
        <v>2785</v>
      </c>
      <c r="B1082" s="3" t="s">
        <v>1850</v>
      </c>
      <c r="C1082" s="3" t="s">
        <v>1850</v>
      </c>
      <c r="D1082" s="4" t="str">
        <f aca="false">IF(AND(EXACT(B1082,C1082),NOT(AND(ISBLANK(B1082),ISBLANK(C1082)))), "Common", "")</f>
        <v>Common</v>
      </c>
    </row>
    <row r="1083" customFormat="false" ht="15.75" hidden="false" customHeight="false" outlineLevel="0" collapsed="false">
      <c r="A1083" s="3" t="s">
        <v>2786</v>
      </c>
      <c r="B1083" s="3" t="s">
        <v>1937</v>
      </c>
      <c r="C1083" s="3"/>
      <c r="D1083" s="4" t="str">
        <f aca="false">IF(AND(EXACT(B1083,C1083),NOT(AND(ISBLANK(B1083),ISBLANK(C1083)))), "Common", "")</f>
        <v/>
      </c>
    </row>
    <row r="1084" customFormat="false" ht="15.75" hidden="false" customHeight="false" outlineLevel="0" collapsed="false">
      <c r="A1084" s="3" t="s">
        <v>2786</v>
      </c>
      <c r="B1084" s="3" t="s">
        <v>1863</v>
      </c>
      <c r="C1084" s="3" t="s">
        <v>1863</v>
      </c>
      <c r="D1084" s="4" t="str">
        <f aca="false">IF(AND(EXACT(B1084,C1084),NOT(AND(ISBLANK(B1084),ISBLANK(C1084)))), "Common", "")</f>
        <v>Common</v>
      </c>
    </row>
    <row r="1085" customFormat="false" ht="15.75" hidden="false" customHeight="false" outlineLevel="0" collapsed="false">
      <c r="A1085" s="3" t="s">
        <v>2786</v>
      </c>
      <c r="B1085" s="3" t="s">
        <v>1783</v>
      </c>
      <c r="C1085" s="3" t="s">
        <v>1783</v>
      </c>
      <c r="D1085" s="4" t="str">
        <f aca="false">IF(AND(EXACT(B1085,C1085),NOT(AND(ISBLANK(B1085),ISBLANK(C1085)))), "Common", "")</f>
        <v>Common</v>
      </c>
    </row>
    <row r="1086" customFormat="false" ht="15.75" hidden="false" customHeight="false" outlineLevel="0" collapsed="false">
      <c r="A1086" s="3" t="s">
        <v>2786</v>
      </c>
      <c r="C1086" s="3" t="s">
        <v>1786</v>
      </c>
      <c r="D1086" s="4" t="str">
        <f aca="false">IF(AND(EXACT(B1086,C1086),NOT(AND(ISBLANK(B1086),ISBLANK(C1086)))), "Common", "")</f>
        <v/>
      </c>
    </row>
    <row r="1087" customFormat="false" ht="15.75" hidden="false" customHeight="false" outlineLevel="0" collapsed="false">
      <c r="A1087" s="3" t="s">
        <v>2786</v>
      </c>
      <c r="C1087" s="3" t="s">
        <v>1787</v>
      </c>
      <c r="D1087" s="4" t="str">
        <f aca="false">IF(AND(EXACT(B1087,C1087),NOT(AND(ISBLANK(B1087),ISBLANK(C1087)))), "Common", "")</f>
        <v/>
      </c>
    </row>
    <row r="1088" customFormat="false" ht="15.75" hidden="false" customHeight="false" outlineLevel="0" collapsed="false">
      <c r="A1088" s="3" t="s">
        <v>2786</v>
      </c>
      <c r="B1088" s="3" t="s">
        <v>1849</v>
      </c>
      <c r="C1088" s="3"/>
      <c r="D1088" s="4" t="str">
        <f aca="false">IF(AND(EXACT(B1088,C1088),NOT(AND(ISBLANK(B1088),ISBLANK(C1088)))), "Common", "")</f>
        <v/>
      </c>
    </row>
    <row r="1089" customFormat="false" ht="15.75" hidden="false" customHeight="false" outlineLevel="0" collapsed="false">
      <c r="A1089" s="4"/>
    </row>
    <row r="1090" customFormat="false" ht="15.75" hidden="false" customHeight="false" outlineLevel="0" collapsed="false">
      <c r="A1090" s="4"/>
    </row>
    <row r="1091" customFormat="false" ht="15.75" hidden="false" customHeight="false" outlineLevel="0" collapsed="false">
      <c r="A1091" s="4"/>
    </row>
    <row r="1092" customFormat="false" ht="15.75" hidden="false" customHeight="false" outlineLevel="0" collapsed="false">
      <c r="A1092" s="3" t="s">
        <v>2787</v>
      </c>
      <c r="C1092" s="3" t="s">
        <v>2561</v>
      </c>
      <c r="D1092" s="4" t="str">
        <f aca="false">IF(AND(EXACT(B1092,C1092),NOT(AND(ISBLANK(B1092),ISBLANK(C1092)))), "Common", "")</f>
        <v/>
      </c>
    </row>
    <row r="1093" customFormat="false" ht="15.75" hidden="false" customHeight="false" outlineLevel="0" collapsed="false">
      <c r="A1093" s="3" t="s">
        <v>2788</v>
      </c>
      <c r="C1093" s="3" t="s">
        <v>1844</v>
      </c>
      <c r="D1093" s="4" t="str">
        <f aca="false">IF(AND(EXACT(B1093,C1093),NOT(AND(ISBLANK(B1093),ISBLANK(C1093)))), "Common", "")</f>
        <v/>
      </c>
    </row>
    <row r="1094" customFormat="false" ht="15.75" hidden="false" customHeight="false" outlineLevel="0" collapsed="false">
      <c r="A1094" s="3" t="s">
        <v>2789</v>
      </c>
      <c r="C1094" s="3" t="s">
        <v>1852</v>
      </c>
      <c r="D1094" s="4" t="str">
        <f aca="false">IF(AND(EXACT(B1094,C1094),NOT(AND(ISBLANK(B1094),ISBLANK(C1094)))), "Common", "")</f>
        <v/>
      </c>
    </row>
    <row r="1095" customFormat="false" ht="15.75" hidden="false" customHeight="false" outlineLevel="0" collapsed="false">
      <c r="A1095" s="3" t="s">
        <v>2789</v>
      </c>
      <c r="C1095" s="3" t="s">
        <v>1798</v>
      </c>
      <c r="D1095" s="4" t="str">
        <f aca="false">IF(AND(EXACT(B1095,C1095),NOT(AND(ISBLANK(B1095),ISBLANK(C1095)))), "Common", "")</f>
        <v/>
      </c>
    </row>
    <row r="1096" customFormat="false" ht="15.75" hidden="false" customHeight="false" outlineLevel="0" collapsed="false">
      <c r="A1096" s="3" t="s">
        <v>2790</v>
      </c>
      <c r="C1096" s="3" t="s">
        <v>1800</v>
      </c>
      <c r="D1096" s="4" t="str">
        <f aca="false">IF(AND(EXACT(B1096,C1096),NOT(AND(ISBLANK(B1096),ISBLANK(C1096)))), "Common", "")</f>
        <v/>
      </c>
    </row>
    <row r="1097" customFormat="false" ht="15.75" hidden="false" customHeight="false" outlineLevel="0" collapsed="false">
      <c r="A1097" s="3" t="s">
        <v>2786</v>
      </c>
      <c r="C1097" s="3" t="s">
        <v>1820</v>
      </c>
      <c r="D1097" s="4" t="str">
        <f aca="false">IF(AND(EXACT(B1097,C1097),NOT(AND(ISBLANK(B1097),ISBLANK(C1097)))), "Common", "")</f>
        <v/>
      </c>
    </row>
    <row r="1098" customFormat="false" ht="15.75" hidden="false" customHeight="false" outlineLevel="0" collapsed="false">
      <c r="A1098" s="3" t="s">
        <v>2786</v>
      </c>
      <c r="C1098" s="3" t="s">
        <v>1817</v>
      </c>
      <c r="D1098" s="4" t="str">
        <f aca="false">IF(AND(EXACT(B1098,C1098),NOT(AND(ISBLANK(B1098),ISBLANK(C1098)))), "Common", "")</f>
        <v/>
      </c>
    </row>
    <row r="1099" customFormat="false" ht="15.75" hidden="false" customHeight="false" outlineLevel="0" collapsed="false">
      <c r="A1099" s="3" t="s">
        <v>2791</v>
      </c>
      <c r="C1099" s="3" t="s">
        <v>1538</v>
      </c>
      <c r="D1099" s="4" t="str">
        <f aca="false">IF(AND(EXACT(B1099,C1099),NOT(AND(ISBLANK(B1099),ISBLANK(C1099)))), "Common", "")</f>
        <v/>
      </c>
    </row>
    <row r="1100" customFormat="false" ht="15.75" hidden="false" customHeight="false" outlineLevel="0" collapsed="false">
      <c r="A1100" s="3" t="s">
        <v>2792</v>
      </c>
      <c r="C1100" s="3" t="s">
        <v>2338</v>
      </c>
      <c r="D1100" s="4" t="str">
        <f aca="false">IF(AND(EXACT(B1100,C1100),NOT(AND(ISBLANK(B1100),ISBLANK(C1100)))), "Common", "")</f>
        <v/>
      </c>
    </row>
    <row r="1101" customFormat="false" ht="15.75" hidden="false" customHeight="false" outlineLevel="0" collapsed="false">
      <c r="A1101" s="3" t="s">
        <v>2793</v>
      </c>
      <c r="B1101" s="3" t="s">
        <v>2423</v>
      </c>
      <c r="D1101" s="4" t="str">
        <f aca="false">IF(AND(EXACT(B1101,C1101),NOT(AND(ISBLANK(B1101),ISBLANK(C1101)))), "Common", "")</f>
        <v/>
      </c>
    </row>
    <row r="1102" customFormat="false" ht="15.75" hidden="false" customHeight="false" outlineLevel="0" collapsed="false">
      <c r="A1102" s="4"/>
      <c r="D1102" s="4" t="str">
        <f aca="false">IF(AND(EXACT(B1102,C1102),NOT(AND(ISBLANK(B1102),ISBLANK(C1102)))), "Common", "")</f>
        <v/>
      </c>
    </row>
    <row r="1103" customFormat="false" ht="15.75" hidden="false" customHeight="false" outlineLevel="0" collapsed="false">
      <c r="A1103" s="4"/>
    </row>
    <row r="1104" customFormat="false" ht="15.75" hidden="false" customHeight="false" outlineLevel="0" collapsed="false">
      <c r="A1104" s="3" t="s">
        <v>2794</v>
      </c>
    </row>
    <row r="1105" customFormat="false" ht="15.75" hidden="false" customHeight="false" outlineLevel="0" collapsed="false">
      <c r="A1105" s="4"/>
    </row>
    <row r="1106" customFormat="false" ht="15.75" hidden="false" customHeight="false" outlineLevel="0" collapsed="false">
      <c r="A1106" s="4"/>
      <c r="D1106" s="4" t="str">
        <f aca="false">IF(AND(EXACT(B1106,C1106),NOT(AND(ISBLANK(B1106),ISBLANK(C1106)))), "Common", "")</f>
        <v/>
      </c>
    </row>
    <row r="1107" customFormat="false" ht="15.75" hidden="false" customHeight="false" outlineLevel="0" collapsed="false">
      <c r="A1107" s="3" t="s">
        <v>2795</v>
      </c>
      <c r="B1107" s="3" t="s">
        <v>1697</v>
      </c>
      <c r="C1107" s="3" t="s">
        <v>1697</v>
      </c>
      <c r="D1107" s="4" t="str">
        <f aca="false">IF(AND(EXACT(B1107,C1107),NOT(AND(ISBLANK(B1107),ISBLANK(C1107)))), "Common", "")</f>
        <v>Common</v>
      </c>
    </row>
    <row r="1108" customFormat="false" ht="15.75" hidden="false" customHeight="false" outlineLevel="0" collapsed="false">
      <c r="A1108" s="3" t="s">
        <v>2796</v>
      </c>
      <c r="B1108" s="3" t="s">
        <v>1814</v>
      </c>
      <c r="C1108" s="3"/>
      <c r="D1108" s="4" t="str">
        <f aca="false">IF(AND(EXACT(B1108,C1108),NOT(AND(ISBLANK(B1108),ISBLANK(C1108)))), "Common", "")</f>
        <v/>
      </c>
    </row>
    <row r="1109" customFormat="false" ht="15.75" hidden="false" customHeight="false" outlineLevel="0" collapsed="false">
      <c r="A1109" s="3" t="s">
        <v>2796</v>
      </c>
      <c r="B1109" s="3" t="s">
        <v>1763</v>
      </c>
      <c r="C1109" s="3" t="s">
        <v>1763</v>
      </c>
      <c r="D1109" s="4" t="str">
        <f aca="false">IF(AND(EXACT(B1109,C1109),NOT(AND(ISBLANK(B1109),ISBLANK(C1109)))), "Common", "")</f>
        <v>Common</v>
      </c>
    </row>
    <row r="1110" customFormat="false" ht="15.75" hidden="false" customHeight="false" outlineLevel="0" collapsed="false">
      <c r="A1110" s="3" t="s">
        <v>2796</v>
      </c>
      <c r="B1110" s="3" t="s">
        <v>1815</v>
      </c>
      <c r="C1110" s="3" t="s">
        <v>1815</v>
      </c>
      <c r="D1110" s="4" t="str">
        <f aca="false">IF(AND(EXACT(B1110,C1110),NOT(AND(ISBLANK(B1110),ISBLANK(C1110)))), "Common", "")</f>
        <v>Common</v>
      </c>
    </row>
    <row r="1111" customFormat="false" ht="15.75" hidden="false" customHeight="false" outlineLevel="0" collapsed="false">
      <c r="A1111" s="3" t="s">
        <v>2797</v>
      </c>
      <c r="B1111" s="3" t="s">
        <v>1827</v>
      </c>
      <c r="C1111" s="3" t="s">
        <v>1827</v>
      </c>
      <c r="D1111" s="4" t="str">
        <f aca="false">IF(AND(EXACT(B1111,C1111),NOT(AND(ISBLANK(B1111),ISBLANK(C1111)))), "Common", "")</f>
        <v>Common</v>
      </c>
    </row>
    <row r="1112" customFormat="false" ht="15.75" hidden="false" customHeight="false" outlineLevel="0" collapsed="false">
      <c r="A1112" s="3" t="s">
        <v>2797</v>
      </c>
      <c r="B1112" s="3" t="s">
        <v>1829</v>
      </c>
      <c r="C1112" s="3" t="s">
        <v>1829</v>
      </c>
      <c r="D1112" s="4" t="str">
        <f aca="false">IF(AND(EXACT(B1112,C1112),NOT(AND(ISBLANK(B1112),ISBLANK(C1112)))), "Common", "")</f>
        <v>Common</v>
      </c>
    </row>
    <row r="1113" customFormat="false" ht="15.75" hidden="false" customHeight="false" outlineLevel="0" collapsed="false">
      <c r="A1113" s="3" t="s">
        <v>2797</v>
      </c>
      <c r="B1113" s="3" t="s">
        <v>1831</v>
      </c>
      <c r="C1113" s="3" t="s">
        <v>1831</v>
      </c>
      <c r="D1113" s="4" t="str">
        <f aca="false">IF(AND(EXACT(B1113,C1113),NOT(AND(ISBLANK(B1113),ISBLANK(C1113)))), "Common", "")</f>
        <v>Common</v>
      </c>
    </row>
    <row r="1114" customFormat="false" ht="15.75" hidden="false" customHeight="false" outlineLevel="0" collapsed="false">
      <c r="A1114" s="3" t="s">
        <v>2797</v>
      </c>
      <c r="B1114" s="3" t="s">
        <v>1835</v>
      </c>
      <c r="C1114" s="3" t="s">
        <v>1835</v>
      </c>
      <c r="D1114" s="4" t="str">
        <f aca="false">IF(AND(EXACT(B1114,C1114),NOT(AND(ISBLANK(B1114),ISBLANK(C1114)))), "Common", "")</f>
        <v>Common</v>
      </c>
    </row>
    <row r="1115" customFormat="false" ht="15.75" hidden="false" customHeight="false" outlineLevel="0" collapsed="false">
      <c r="A1115" s="3" t="s">
        <v>2797</v>
      </c>
      <c r="B1115" s="3" t="s">
        <v>1836</v>
      </c>
      <c r="C1115" s="3" t="s">
        <v>1836</v>
      </c>
      <c r="D1115" s="4" t="str">
        <f aca="false">IF(AND(EXACT(B1115,C1115),NOT(AND(ISBLANK(B1115),ISBLANK(C1115)))), "Common", "")</f>
        <v>Common</v>
      </c>
    </row>
    <row r="1116" customFormat="false" ht="15.75" hidden="false" customHeight="false" outlineLevel="0" collapsed="false">
      <c r="A1116" s="3" t="s">
        <v>2797</v>
      </c>
      <c r="B1116" s="3" t="s">
        <v>1838</v>
      </c>
      <c r="C1116" s="3" t="s">
        <v>1838</v>
      </c>
      <c r="D1116" s="4" t="str">
        <f aca="false">IF(AND(EXACT(B1116,C1116),NOT(AND(ISBLANK(B1116),ISBLANK(C1116)))), "Common", "")</f>
        <v>Common</v>
      </c>
    </row>
    <row r="1117" customFormat="false" ht="15.75" hidden="false" customHeight="false" outlineLevel="0" collapsed="false">
      <c r="A1117" s="3" t="s">
        <v>2797</v>
      </c>
      <c r="B1117" s="3" t="s">
        <v>1910</v>
      </c>
      <c r="C1117" s="3"/>
      <c r="D1117" s="4" t="str">
        <f aca="false">IF(AND(EXACT(B1117,C1117),NOT(AND(ISBLANK(B1117),ISBLANK(C1117)))), "Common", "")</f>
        <v/>
      </c>
    </row>
    <row r="1118" customFormat="false" ht="15.75" hidden="false" customHeight="false" outlineLevel="0" collapsed="false">
      <c r="A1118" s="3" t="s">
        <v>2798</v>
      </c>
      <c r="B1118" s="3"/>
      <c r="D1118" s="4" t="str">
        <f aca="false">IF(AND(EXACT(B1118,C1061),NOT(AND(ISBLANK(B1118),ISBLANK(C1061)))), "Common", "")</f>
        <v/>
      </c>
    </row>
    <row r="1119" customFormat="false" ht="15.75" hidden="false" customHeight="false" outlineLevel="0" collapsed="false">
      <c r="A1119" s="3" t="s">
        <v>2798</v>
      </c>
      <c r="B1119" s="3"/>
      <c r="D1119" s="4" t="str">
        <f aca="false">IF(AND(EXACT(B1119,C1060),NOT(AND(ISBLANK(B1119),ISBLANK(C1060)))), "Common", "")</f>
        <v/>
      </c>
    </row>
    <row r="1120" customFormat="false" ht="15.75" hidden="false" customHeight="false" outlineLevel="0" collapsed="false">
      <c r="A1120" s="3" t="s">
        <v>2798</v>
      </c>
      <c r="D1120" s="4" t="str">
        <f aca="false">IF(AND(EXACT(B1062,C1062),NOT(AND(ISBLANK(B1062),ISBLANK(C1062)))), "Common", "")</f>
        <v>Common</v>
      </c>
    </row>
    <row r="1121" customFormat="false" ht="15.75" hidden="false" customHeight="false" outlineLevel="0" collapsed="false">
      <c r="A1121" s="3" t="s">
        <v>2797</v>
      </c>
      <c r="B1121" s="3" t="s">
        <v>1921</v>
      </c>
      <c r="C1121" s="3"/>
      <c r="D1121" s="4" t="str">
        <f aca="false">IF(AND(EXACT(B1121,C1121),NOT(AND(ISBLANK(B1121),ISBLANK(C1121)))), "Common", "")</f>
        <v/>
      </c>
    </row>
    <row r="1122" customFormat="false" ht="15.75" hidden="false" customHeight="false" outlineLevel="0" collapsed="false">
      <c r="A1122" s="3" t="s">
        <v>2797</v>
      </c>
      <c r="B1122" s="3" t="s">
        <v>1914</v>
      </c>
      <c r="C1122" s="3" t="s">
        <v>2361</v>
      </c>
      <c r="D1122" s="4" t="str">
        <f aca="false">IF(AND(EXACT(B1122,C1122),NOT(AND(ISBLANK(B1122),ISBLANK(C1122)))), "Common", "")</f>
        <v/>
      </c>
    </row>
    <row r="1123" customFormat="false" ht="15.75" hidden="false" customHeight="false" outlineLevel="0" collapsed="false">
      <c r="A1123" s="3" t="s">
        <v>2797</v>
      </c>
      <c r="B1123" s="3" t="s">
        <v>2256</v>
      </c>
      <c r="C1123" s="3" t="s">
        <v>2345</v>
      </c>
      <c r="D1123" s="4" t="str">
        <f aca="false">IF(AND(EXACT(B1123,C1123),NOT(AND(ISBLANK(B1123),ISBLANK(C1123)))), "Common", "")</f>
        <v/>
      </c>
    </row>
    <row r="1124" customFormat="false" ht="15.75" hidden="false" customHeight="false" outlineLevel="0" collapsed="false">
      <c r="A1124" s="3" t="s">
        <v>2797</v>
      </c>
      <c r="B1124" s="3"/>
      <c r="C1124" s="3" t="s">
        <v>2347</v>
      </c>
      <c r="D1124" s="4" t="str">
        <f aca="false">IF(AND(EXACT(B1124,C1124),NOT(AND(ISBLANK(B1124),ISBLANK(C1124)))), "Common", "")</f>
        <v/>
      </c>
    </row>
    <row r="1125" customFormat="false" ht="15.75" hidden="false" customHeight="false" outlineLevel="0" collapsed="false">
      <c r="A1125" s="3" t="s">
        <v>2797</v>
      </c>
      <c r="B1125" s="3"/>
      <c r="C1125" s="3" t="s">
        <v>2349</v>
      </c>
      <c r="D1125" s="4" t="str">
        <f aca="false">IF(AND(EXACT(B1125,C1125),NOT(AND(ISBLANK(B1125),ISBLANK(C1125)))), "Common", "")</f>
        <v/>
      </c>
    </row>
    <row r="1126" customFormat="false" ht="15.75" hidden="false" customHeight="false" outlineLevel="0" collapsed="false">
      <c r="A1126" s="3" t="s">
        <v>2797</v>
      </c>
      <c r="B1126" s="3"/>
      <c r="C1126" s="3" t="s">
        <v>2351</v>
      </c>
      <c r="D1126" s="4" t="str">
        <f aca="false">IF(AND(EXACT(B1126,C1126),NOT(AND(ISBLANK(B1126),ISBLANK(C1126)))), "Common", "")</f>
        <v/>
      </c>
    </row>
    <row r="1127" customFormat="false" ht="15.75" hidden="false" customHeight="false" outlineLevel="0" collapsed="false">
      <c r="A1127" s="3" t="s">
        <v>2797</v>
      </c>
      <c r="B1127" s="3"/>
      <c r="C1127" s="3" t="s">
        <v>2353</v>
      </c>
      <c r="D1127" s="4" t="str">
        <f aca="false">IF(AND(EXACT(B1127,C1127),NOT(AND(ISBLANK(B1127),ISBLANK(C1127)))), "Common", "")</f>
        <v/>
      </c>
    </row>
    <row r="1128" customFormat="false" ht="15.75" hidden="false" customHeight="false" outlineLevel="0" collapsed="false">
      <c r="A1128" s="3" t="s">
        <v>2797</v>
      </c>
      <c r="B1128" s="3"/>
      <c r="C1128" s="3" t="s">
        <v>2355</v>
      </c>
      <c r="D1128" s="4" t="str">
        <f aca="false">IF(AND(EXACT(B1128,C1128),NOT(AND(ISBLANK(B1128),ISBLANK(C1128)))), "Common", "")</f>
        <v/>
      </c>
    </row>
    <row r="1129" customFormat="false" ht="15.75" hidden="false" customHeight="false" outlineLevel="0" collapsed="false">
      <c r="A1129" s="3" t="s">
        <v>2797</v>
      </c>
      <c r="B1129" s="3"/>
      <c r="C1129" s="3" t="s">
        <v>2357</v>
      </c>
      <c r="D1129" s="4" t="str">
        <f aca="false">IF(AND(EXACT(B1129,C1129),NOT(AND(ISBLANK(B1129),ISBLANK(C1129)))), "Common", "")</f>
        <v/>
      </c>
    </row>
    <row r="1130" customFormat="false" ht="15.75" hidden="false" customHeight="false" outlineLevel="0" collapsed="false">
      <c r="A1130" s="3" t="s">
        <v>289</v>
      </c>
      <c r="B1130" s="3" t="s">
        <v>1794</v>
      </c>
      <c r="C1130" s="3"/>
      <c r="D1130" s="4" t="str">
        <f aca="false">IF(AND(EXACT(B1130,C1130),NOT(AND(ISBLANK(B1130),ISBLANK(C1130)))), "Common", "")</f>
        <v/>
      </c>
    </row>
    <row r="1131" customFormat="false" ht="15.75" hidden="false" customHeight="false" outlineLevel="0" collapsed="false">
      <c r="A1131" s="3" t="s">
        <v>289</v>
      </c>
      <c r="B1131" s="3" t="s">
        <v>1812</v>
      </c>
      <c r="C1131" s="3"/>
      <c r="D1131" s="4" t="str">
        <f aca="false">IF(AND(EXACT(B1131,C1131),NOT(AND(ISBLANK(B1131),ISBLANK(C1131)))), "Common", "")</f>
        <v/>
      </c>
    </row>
    <row r="1132" customFormat="false" ht="15.75" hidden="false" customHeight="false" outlineLevel="0" collapsed="false">
      <c r="A1132" s="3"/>
      <c r="B1132" s="3"/>
      <c r="C1132" s="3"/>
      <c r="D1132" s="4" t="str">
        <f aca="false">IF(AND(EXACT(B1132,C1132),NOT(AND(ISBLANK(B1132),ISBLANK(C1132)))), "Common", "")</f>
        <v/>
      </c>
    </row>
    <row r="1133" customFormat="false" ht="15.75" hidden="false" customHeight="false" outlineLevel="0" collapsed="false">
      <c r="A1133" s="3"/>
      <c r="B1133" s="3"/>
      <c r="C1133" s="3"/>
      <c r="D1133" s="4" t="str">
        <f aca="false">IF(AND(EXACT(B1133,C1133),NOT(AND(ISBLANK(B1133),ISBLANK(C1133)))), "Common", "")</f>
        <v/>
      </c>
    </row>
    <row r="1134" customFormat="false" ht="15.75" hidden="false" customHeight="false" outlineLevel="0" collapsed="false">
      <c r="A1134" s="3" t="s">
        <v>2799</v>
      </c>
      <c r="B1134" s="3"/>
      <c r="C1134" s="3" t="s">
        <v>2336</v>
      </c>
      <c r="D1134" s="4" t="str">
        <f aca="false">IF(AND(EXACT(B1134,C1134),NOT(AND(ISBLANK(B1134),ISBLANK(C1134)))), "Common", "")</f>
        <v/>
      </c>
    </row>
    <row r="1135" customFormat="false" ht="15.75" hidden="false" customHeight="false" outlineLevel="0" collapsed="false">
      <c r="A1135" s="3"/>
      <c r="B1135" s="3"/>
      <c r="C1135" s="3"/>
      <c r="D1135" s="4" t="str">
        <f aca="false">IF(AND(EXACT(B1135,C1135),NOT(AND(ISBLANK(B1135),ISBLANK(C1135)))), "Common", "")</f>
        <v/>
      </c>
    </row>
    <row r="1136" customFormat="false" ht="15.75" hidden="false" customHeight="false" outlineLevel="0" collapsed="false">
      <c r="A1136" s="3"/>
      <c r="B1136" s="3"/>
      <c r="C1136" s="3"/>
      <c r="D1136" s="4" t="str">
        <f aca="false">IF(AND(EXACT(B1136,C1136),NOT(AND(ISBLANK(B1136),ISBLANK(C1136)))), "Common", "")</f>
        <v/>
      </c>
    </row>
    <row r="1137" customFormat="false" ht="15.75" hidden="false" customHeight="false" outlineLevel="0" collapsed="false">
      <c r="A1137" s="3"/>
      <c r="B1137" s="3"/>
      <c r="C1137" s="3"/>
      <c r="D1137" s="4" t="str">
        <f aca="false">IF(AND(EXACT(B1137,C1137),NOT(AND(ISBLANK(B1137),ISBLANK(C1137)))), "Common", "")</f>
        <v/>
      </c>
    </row>
    <row r="1138" customFormat="false" ht="15.75" hidden="false" customHeight="false" outlineLevel="0" collapsed="false">
      <c r="A1138" s="3"/>
      <c r="B1138" s="3"/>
      <c r="C1138" s="3"/>
      <c r="D1138" s="4" t="str">
        <f aca="false">IF(AND(EXACT(B1138,C1138),NOT(AND(ISBLANK(B1138),ISBLANK(C1138)))), "Common", "")</f>
        <v/>
      </c>
    </row>
    <row r="1139" customFormat="false" ht="15.75" hidden="false" customHeight="false" outlineLevel="0" collapsed="false">
      <c r="A1139" s="3" t="s">
        <v>2800</v>
      </c>
      <c r="B1139" s="3" t="s">
        <v>1688</v>
      </c>
      <c r="C1139" s="3" t="s">
        <v>1688</v>
      </c>
      <c r="D1139" s="4" t="str">
        <f aca="false">IF(AND(EXACT(B1139,C1139),NOT(AND(ISBLANK(B1139),ISBLANK(C1139)))), "Common", "")</f>
        <v>Common</v>
      </c>
    </row>
    <row r="1140" customFormat="false" ht="15.75" hidden="false" customHeight="false" outlineLevel="0" collapsed="false">
      <c r="A1140" s="3" t="s">
        <v>2801</v>
      </c>
      <c r="B1140" s="3" t="s">
        <v>1772</v>
      </c>
      <c r="D1140" s="4" t="str">
        <f aca="false">IF(AND(EXACT(B1140,C1140),NOT(AND(ISBLANK(B1140),ISBLANK(C1140)))), "Common", "")</f>
        <v/>
      </c>
    </row>
    <row r="1141" customFormat="false" ht="15.75" hidden="false" customHeight="false" outlineLevel="0" collapsed="false">
      <c r="A1141" s="3" t="s">
        <v>2802</v>
      </c>
      <c r="B1141" s="3" t="s">
        <v>1774</v>
      </c>
      <c r="D1141" s="4" t="str">
        <f aca="false">IF(AND(EXACT(B1141,C1141),NOT(AND(ISBLANK(B1141),ISBLANK(C1141)))), "Common", "")</f>
        <v/>
      </c>
    </row>
    <row r="1142" customFormat="false" ht="15.75" hidden="false" customHeight="false" outlineLevel="0" collapsed="false">
      <c r="A1142" s="3" t="s">
        <v>2803</v>
      </c>
      <c r="B1142" s="3" t="s">
        <v>1779</v>
      </c>
      <c r="D1142" s="4" t="str">
        <f aca="false">IF(AND(EXACT(B1142,C1142),NOT(AND(ISBLANK(B1142),ISBLANK(C1142)))), "Common", "")</f>
        <v/>
      </c>
    </row>
    <row r="1143" customFormat="false" ht="15.75" hidden="false" customHeight="false" outlineLevel="0" collapsed="false">
      <c r="A1143" s="4"/>
      <c r="D1143" s="4" t="str">
        <f aca="false">IF(AND(EXACT(B1143,C1143),NOT(AND(ISBLANK(B1143),ISBLANK(C1143)))), "Common", "")</f>
        <v/>
      </c>
    </row>
    <row r="1144" customFormat="false" ht="15.75" hidden="false" customHeight="false" outlineLevel="0" collapsed="false">
      <c r="A1144" s="4"/>
      <c r="D1144" s="4" t="str">
        <f aca="false">IF(AND(EXACT(B1144,C1144),NOT(AND(ISBLANK(B1144),ISBLANK(C1144)))), "Common", "")</f>
        <v/>
      </c>
    </row>
    <row r="1145" customFormat="false" ht="15.75" hidden="false" customHeight="false" outlineLevel="0" collapsed="false">
      <c r="A1145" s="4"/>
      <c r="D1145" s="4" t="str">
        <f aca="false">IF(AND(EXACT(B1145,C1145),NOT(AND(ISBLANK(B1145),ISBLANK(C1145)))), "Common", "")</f>
        <v/>
      </c>
    </row>
    <row r="1146" customFormat="false" ht="15.75" hidden="false" customHeight="false" outlineLevel="0" collapsed="false">
      <c r="A1146" s="4"/>
      <c r="D1146" s="4" t="str">
        <f aca="false">IF(AND(EXACT(B1146,C1146),NOT(AND(ISBLANK(B1146),ISBLANK(C1146)))), "Common", "")</f>
        <v/>
      </c>
    </row>
    <row r="1147" customFormat="false" ht="15.75" hidden="false" customHeight="false" outlineLevel="0" collapsed="false">
      <c r="A1147" s="4"/>
      <c r="D1147" s="4" t="str">
        <f aca="false">IF(AND(EXACT(B1147,C1147),NOT(AND(ISBLANK(B1147),ISBLANK(C1147)))), "Common", "")</f>
        <v/>
      </c>
    </row>
    <row r="1148" customFormat="false" ht="15.75" hidden="false" customHeight="false" outlineLevel="0" collapsed="false">
      <c r="A1148" s="4"/>
      <c r="D1148" s="4" t="str">
        <f aca="false">IF(AND(EXACT(B1148,C1148),NOT(AND(ISBLANK(B1148),ISBLANK(C1148)))), "Common", "")</f>
        <v/>
      </c>
    </row>
    <row r="1149" customFormat="false" ht="15.75" hidden="false" customHeight="false" outlineLevel="0" collapsed="false">
      <c r="A1149" s="3" t="s">
        <v>2804</v>
      </c>
      <c r="C1149" s="3" t="s">
        <v>1546</v>
      </c>
      <c r="D1149" s="4" t="str">
        <f aca="false">IF(AND(EXACT(B1149,C1149),NOT(AND(ISBLANK(B1149),ISBLANK(C1149)))), "Common", "")</f>
        <v/>
      </c>
    </row>
    <row r="1150" customFormat="false" ht="15.75" hidden="false" customHeight="false" outlineLevel="0" collapsed="false">
      <c r="A1150" s="4"/>
      <c r="C1150" s="3"/>
      <c r="D1150" s="4" t="str">
        <f aca="false">IF(AND(EXACT(B1150,C1150),NOT(AND(ISBLANK(B1150),ISBLANK(C1150)))), "Common", "")</f>
        <v/>
      </c>
    </row>
    <row r="1151" customFormat="false" ht="15.75" hidden="false" customHeight="false" outlineLevel="0" collapsed="false">
      <c r="A1151" s="4"/>
      <c r="D1151" s="4" t="str">
        <f aca="false">IF(AND(EXACT(B1151,C1151),NOT(AND(ISBLANK(B1151),ISBLANK(C1151)))), "Common", "")</f>
        <v/>
      </c>
    </row>
    <row r="1152" customFormat="false" ht="15.75" hidden="false" customHeight="false" outlineLevel="0" collapsed="false">
      <c r="A1152" s="4"/>
      <c r="D1152" s="4" t="str">
        <f aca="false">IF(AND(EXACT(B1152,C1152),NOT(AND(ISBLANK(B1152),ISBLANK(C1152)))), "Common", "")</f>
        <v/>
      </c>
    </row>
    <row r="1153" customFormat="false" ht="15.75" hidden="false" customHeight="false" outlineLevel="0" collapsed="false">
      <c r="A1153" s="4"/>
      <c r="D1153" s="4" t="str">
        <f aca="false">IF(AND(EXACT(B1153,C1153),NOT(AND(ISBLANK(B1153),ISBLANK(C1153)))), "Common", "")</f>
        <v/>
      </c>
    </row>
    <row r="1154" customFormat="false" ht="15.75" hidden="false" customHeight="false" outlineLevel="0" collapsed="false">
      <c r="A1154" s="4"/>
      <c r="D1154" s="4" t="str">
        <f aca="false">IF(AND(EXACT(B1154,C1154),NOT(AND(ISBLANK(B1154),ISBLANK(C1154)))), "Common", "")</f>
        <v/>
      </c>
    </row>
    <row r="1155" customFormat="false" ht="15.75" hidden="false" customHeight="false" outlineLevel="0" collapsed="false">
      <c r="A1155" s="4"/>
      <c r="D1155" s="4" t="str">
        <f aca="false">IF(AND(EXACT(B1155,C1155),NOT(AND(ISBLANK(B1155),ISBLANK(C1155)))), "Common", "")</f>
        <v/>
      </c>
    </row>
    <row r="1156" customFormat="false" ht="15.75" hidden="false" customHeight="false" outlineLevel="0" collapsed="false">
      <c r="A1156" s="4"/>
      <c r="D1156" s="4" t="str">
        <f aca="false">IF(AND(EXACT(B1156,C1156),NOT(AND(ISBLANK(B1156),ISBLANK(C1156)))), "Common", "")</f>
        <v/>
      </c>
    </row>
    <row r="1157" customFormat="false" ht="15.75" hidden="false" customHeight="false" outlineLevel="0" collapsed="false">
      <c r="A1157" s="4"/>
      <c r="D1157" s="4" t="str">
        <f aca="false">IF(AND(EXACT(B1157,C1157),NOT(AND(ISBLANK(B1157),ISBLANK(C1157)))), "Common", "")</f>
        <v/>
      </c>
    </row>
    <row r="1158" customFormat="false" ht="15.75" hidden="false" customHeight="false" outlineLevel="0" collapsed="false">
      <c r="A1158" s="4"/>
      <c r="D1158" s="4" t="str">
        <f aca="false">IF(AND(EXACT(B1158,C1158),NOT(AND(ISBLANK(B1158),ISBLANK(C1158)))), "Common", "")</f>
        <v/>
      </c>
    </row>
    <row r="1159" customFormat="false" ht="15.75" hidden="false" customHeight="false" outlineLevel="0" collapsed="false">
      <c r="A1159" s="4"/>
      <c r="D1159" s="4" t="str">
        <f aca="false">IF(AND(EXACT(B1159,C1159),NOT(AND(ISBLANK(B1159),ISBLANK(C1159)))), "Common", "")</f>
        <v/>
      </c>
    </row>
    <row r="1160" customFormat="false" ht="15.75" hidden="false" customHeight="false" outlineLevel="0" collapsed="false">
      <c r="A1160" s="4"/>
      <c r="D1160" s="4" t="str">
        <f aca="false">IF(AND(EXACT(B1160,C1160),NOT(AND(ISBLANK(B1160),ISBLANK(C1160)))), "Common", "")</f>
        <v/>
      </c>
    </row>
    <row r="1161" customFormat="false" ht="15.75" hidden="false" customHeight="false" outlineLevel="0" collapsed="false">
      <c r="A1161" s="3" t="s">
        <v>2805</v>
      </c>
      <c r="B1161" s="3" t="s">
        <v>1658</v>
      </c>
      <c r="C1161" s="3" t="s">
        <v>1658</v>
      </c>
      <c r="D1161" s="4" t="str">
        <f aca="false">IF(AND(EXACT(B1161,C1161),NOT(AND(ISBLANK(B1161),ISBLANK(C1161)))), "Common", "")</f>
        <v>Common</v>
      </c>
    </row>
    <row r="1162" customFormat="false" ht="15.75" hidden="false" customHeight="false" outlineLevel="0" collapsed="false">
      <c r="A1162" s="3" t="s">
        <v>2805</v>
      </c>
      <c r="B1162" s="3"/>
      <c r="C1162" s="3" t="s">
        <v>1692</v>
      </c>
      <c r="D1162" s="4" t="str">
        <f aca="false">IF(AND(EXACT(B1162,C1162),NOT(AND(ISBLANK(B1162),ISBLANK(C1162)))), "Common", "")</f>
        <v/>
      </c>
    </row>
    <row r="1163" customFormat="false" ht="15.75" hidden="false" customHeight="false" outlineLevel="0" collapsed="false">
      <c r="A1163" s="3" t="s">
        <v>2805</v>
      </c>
      <c r="C1163" s="3" t="s">
        <v>1736</v>
      </c>
      <c r="D1163" s="4" t="str">
        <f aca="false">IF(AND(EXACT(B1163,C1163),NOT(AND(ISBLANK(B1163),ISBLANK(C1163)))), "Common", "")</f>
        <v/>
      </c>
    </row>
    <row r="1164" customFormat="false" ht="15.75" hidden="false" customHeight="false" outlineLevel="0" collapsed="false">
      <c r="A1164" s="3" t="s">
        <v>2805</v>
      </c>
      <c r="B1164" s="3" t="s">
        <v>1656</v>
      </c>
      <c r="C1164" s="3" t="s">
        <v>1656</v>
      </c>
      <c r="D1164" s="4" t="str">
        <f aca="false">IF(AND(EXACT(B1164,C1164),NOT(AND(ISBLANK(B1164),ISBLANK(C1164)))), "Common", "")</f>
        <v>Common</v>
      </c>
    </row>
    <row r="1165" customFormat="false" ht="15.75" hidden="false" customHeight="false" outlineLevel="0" collapsed="false">
      <c r="A1165" s="4"/>
      <c r="C1165" s="3"/>
      <c r="D1165" s="4" t="str">
        <f aca="false">IF(AND(EXACT(B1165,C1165),NOT(AND(ISBLANK(B1165),ISBLANK(C1165)))), "Common", "")</f>
        <v/>
      </c>
    </row>
    <row r="1166" customFormat="false" ht="15.75" hidden="false" customHeight="false" outlineLevel="0" collapsed="false">
      <c r="A1166" s="4"/>
      <c r="D1166" s="4" t="str">
        <f aca="false">IF(AND(EXACT(B1166,C1166),NOT(AND(ISBLANK(B1166),ISBLANK(C1166)))), "Common", "")</f>
        <v/>
      </c>
    </row>
    <row r="1167" customFormat="false" ht="15.75" hidden="false" customHeight="false" outlineLevel="0" collapsed="false">
      <c r="A1167" s="3" t="s">
        <v>2806</v>
      </c>
      <c r="B1167" s="3" t="s">
        <v>1720</v>
      </c>
      <c r="D1167" s="4" t="str">
        <f aca="false">IF(AND(EXACT(B1167,C1167),NOT(AND(ISBLANK(B1167),ISBLANK(C1167)))), "Common", "")</f>
        <v/>
      </c>
    </row>
    <row r="1168" customFormat="false" ht="15.75" hidden="false" customHeight="false" outlineLevel="0" collapsed="false">
      <c r="A1168" s="3" t="s">
        <v>2807</v>
      </c>
      <c r="B1168" s="3" t="s">
        <v>1722</v>
      </c>
      <c r="D1168" s="4" t="str">
        <f aca="false">IF(AND(EXACT(B1168,C1168),NOT(AND(ISBLANK(B1168),ISBLANK(C1168)))), "Common", "")</f>
        <v/>
      </c>
    </row>
    <row r="1169" customFormat="false" ht="15.75" hidden="false" customHeight="false" outlineLevel="0" collapsed="false">
      <c r="A1169" s="3" t="s">
        <v>2808</v>
      </c>
      <c r="B1169" s="3" t="s">
        <v>1723</v>
      </c>
      <c r="D1169" s="4" t="str">
        <f aca="false">IF(AND(EXACT(B1169,C1169),NOT(AND(ISBLANK(B1169),ISBLANK(C1169)))), "Common", "")</f>
        <v/>
      </c>
    </row>
    <row r="1170" customFormat="false" ht="15.75" hidden="false" customHeight="false" outlineLevel="0" collapsed="false">
      <c r="A1170" s="3" t="s">
        <v>2809</v>
      </c>
      <c r="B1170" s="3" t="s">
        <v>1841</v>
      </c>
      <c r="D1170" s="4" t="str">
        <f aca="false">IF(AND(EXACT(B1170,C1170),NOT(AND(ISBLANK(B1170),ISBLANK(C1170)))), "Common", "")</f>
        <v/>
      </c>
    </row>
    <row r="1171" customFormat="false" ht="15.75" hidden="false" customHeight="false" outlineLevel="0" collapsed="false">
      <c r="A1171" s="3" t="s">
        <v>2810</v>
      </c>
      <c r="B1171" s="3" t="s">
        <v>1869</v>
      </c>
      <c r="D1171" s="4" t="str">
        <f aca="false">IF(AND(EXACT(B1171,C1171),NOT(AND(ISBLANK(B1171),ISBLANK(C1171)))), "Common", "")</f>
        <v/>
      </c>
    </row>
    <row r="1172" customFormat="false" ht="15.75" hidden="false" customHeight="false" outlineLevel="0" collapsed="false">
      <c r="A1172" s="3" t="s">
        <v>2811</v>
      </c>
      <c r="B1172" s="3" t="s">
        <v>2134</v>
      </c>
      <c r="D1172" s="4" t="str">
        <f aca="false">IF(AND(EXACT(B1172,C1172),NOT(AND(ISBLANK(B1172),ISBLANK(C1172)))), "Common", "")</f>
        <v/>
      </c>
    </row>
    <row r="1173" customFormat="false" ht="15.75" hidden="false" customHeight="false" outlineLevel="0" collapsed="false">
      <c r="A1173" s="3" t="s">
        <v>2812</v>
      </c>
      <c r="B1173" s="3" t="s">
        <v>2136</v>
      </c>
      <c r="D1173" s="4" t="str">
        <f aca="false">IF(AND(EXACT(B1173,C1173),NOT(AND(ISBLANK(B1173),ISBLANK(C1173)))), "Common", "")</f>
        <v/>
      </c>
    </row>
    <row r="1174" customFormat="false" ht="15.75" hidden="false" customHeight="false" outlineLevel="0" collapsed="false">
      <c r="A1174" s="4"/>
      <c r="D1174" s="4" t="str">
        <f aca="false">IF(AND(EXACT(B779,C1174),NOT(AND(ISBLANK(B779),ISBLANK(C1174)))), "Common", "")</f>
        <v/>
      </c>
    </row>
    <row r="1175" customFormat="false" ht="15.75" hidden="false" customHeight="false" outlineLevel="0" collapsed="false">
      <c r="A1175" s="3" t="s">
        <v>2813</v>
      </c>
      <c r="C1175" s="3" t="s">
        <v>2036</v>
      </c>
      <c r="D1175" s="4" t="str">
        <f aca="false">IF(AND(EXACT(B1175,C1175),NOT(AND(ISBLANK(B1175),ISBLANK(C1175)))), "Common", "")</f>
        <v/>
      </c>
    </row>
    <row r="1176" customFormat="false" ht="15.75" hidden="false" customHeight="false" outlineLevel="0" collapsed="false">
      <c r="A1176" s="4"/>
      <c r="D1176" s="4" t="str">
        <f aca="false">IF(AND(EXACT(B1176,C1176),NOT(AND(ISBLANK(B1176),ISBLANK(C1176)))), "Common", "")</f>
        <v/>
      </c>
    </row>
    <row r="1177" customFormat="false" ht="15.75" hidden="false" customHeight="false" outlineLevel="0" collapsed="false">
      <c r="A1177" s="4"/>
      <c r="D1177" s="4" t="str">
        <f aca="false">IF(AND(EXACT(B1177,C1177),NOT(AND(ISBLANK(B1177),ISBLANK(C1177)))), "Common", "")</f>
        <v/>
      </c>
    </row>
    <row r="1178" customFormat="false" ht="15.75" hidden="false" customHeight="false" outlineLevel="0" collapsed="false">
      <c r="A1178" s="4"/>
      <c r="D1178" s="4" t="str">
        <f aca="false">IF(AND(EXACT(B1178,C1178),NOT(AND(ISBLANK(B1178),ISBLANK(C1178)))), "Common", "")</f>
        <v/>
      </c>
    </row>
    <row r="1179" customFormat="false" ht="15.75" hidden="false" customHeight="false" outlineLevel="0" collapsed="false">
      <c r="A1179" s="4"/>
      <c r="D1179" s="4" t="str">
        <f aca="false">IF(AND(EXACT(B1179,C1179),NOT(AND(ISBLANK(B1179),ISBLANK(C1179)))), "Common", "")</f>
        <v/>
      </c>
    </row>
    <row r="1180" customFormat="false" ht="15.75" hidden="false" customHeight="false" outlineLevel="0" collapsed="false">
      <c r="A1180" s="4"/>
      <c r="D1180" s="4" t="str">
        <f aca="false">IF(AND(EXACT(B1180,C1180),NOT(AND(ISBLANK(B1180),ISBLANK(C1180)))), "Common", "")</f>
        <v/>
      </c>
    </row>
    <row r="1181" customFormat="false" ht="15.75" hidden="false" customHeight="false" outlineLevel="0" collapsed="false">
      <c r="A1181" s="4"/>
      <c r="D1181" s="4" t="str">
        <f aca="false">IF(AND(EXACT(B1181,C1181),NOT(AND(ISBLANK(B1181),ISBLANK(C1181)))), "Common", "")</f>
        <v/>
      </c>
    </row>
    <row r="1182" customFormat="false" ht="15.75" hidden="false" customHeight="false" outlineLevel="0" collapsed="false">
      <c r="A1182" s="4"/>
      <c r="D1182" s="4" t="str">
        <f aca="false">IF(AND(EXACT(B1182,C1182),NOT(AND(ISBLANK(B1182),ISBLANK(C1182)))), "Common", "")</f>
        <v/>
      </c>
    </row>
    <row r="1183" customFormat="false" ht="15.75" hidden="false" customHeight="false" outlineLevel="0" collapsed="false">
      <c r="A1183" s="4"/>
      <c r="D1183" s="4" t="str">
        <f aca="false">IF(AND(EXACT(B1183,C1183),NOT(AND(ISBLANK(B1183),ISBLANK(C1183)))), "Common", "")</f>
        <v/>
      </c>
    </row>
    <row r="1184" customFormat="false" ht="15.75" hidden="false" customHeight="false" outlineLevel="0" collapsed="false">
      <c r="A1184" s="3" t="s">
        <v>2814</v>
      </c>
      <c r="B1184" s="3" t="s">
        <v>2526</v>
      </c>
      <c r="D1184" s="4" t="str">
        <f aca="false">IF(AND(EXACT(B1184,C1184),NOT(AND(ISBLANK(B1184),ISBLANK(C1184)))), "Common", "")</f>
        <v/>
      </c>
    </row>
    <row r="1185" customFormat="false" ht="15.75" hidden="false" customHeight="false" outlineLevel="0" collapsed="false">
      <c r="A1185" s="3" t="s">
        <v>2814</v>
      </c>
      <c r="B1185" s="3" t="s">
        <v>2528</v>
      </c>
      <c r="D1185" s="4" t="str">
        <f aca="false">IF(AND(EXACT(B1185,C1185),NOT(AND(ISBLANK(B1185),ISBLANK(C1185)))), "Common", "")</f>
        <v/>
      </c>
    </row>
    <row r="1186" customFormat="false" ht="15.75" hidden="false" customHeight="false" outlineLevel="0" collapsed="false">
      <c r="A1186" s="3" t="s">
        <v>2814</v>
      </c>
      <c r="B1186" s="3" t="s">
        <v>2530</v>
      </c>
      <c r="D1186" s="4" t="str">
        <f aca="false">IF(AND(EXACT(B1186,C1186),NOT(AND(ISBLANK(B1186),ISBLANK(C1186)))), "Common", "")</f>
        <v/>
      </c>
    </row>
    <row r="1187" customFormat="false" ht="15.75" hidden="false" customHeight="false" outlineLevel="0" collapsed="false">
      <c r="A1187" s="3" t="s">
        <v>2814</v>
      </c>
      <c r="B1187" s="3" t="s">
        <v>1805</v>
      </c>
      <c r="C1187" s="3"/>
      <c r="D1187" s="4" t="str">
        <f aca="false">IF(AND(EXACT(B1187,C1187),NOT(AND(ISBLANK(B1187),ISBLANK(C1187)))), "Common", "")</f>
        <v/>
      </c>
    </row>
    <row r="1188" customFormat="false" ht="15.75" hidden="false" customHeight="false" outlineLevel="0" collapsed="false">
      <c r="A1188" s="3" t="s">
        <v>2814</v>
      </c>
      <c r="B1188" s="3" t="s">
        <v>1807</v>
      </c>
      <c r="C1188" s="3"/>
      <c r="D1188" s="4" t="str">
        <f aca="false">IF(AND(EXACT(B1188,C1188),NOT(AND(ISBLANK(B1188),ISBLANK(C1188)))), "Common", "")</f>
        <v/>
      </c>
    </row>
    <row r="1189" customFormat="false" ht="15.75" hidden="false" customHeight="false" outlineLevel="0" collapsed="false">
      <c r="A1189" s="3" t="s">
        <v>2814</v>
      </c>
      <c r="B1189" s="3" t="s">
        <v>1809</v>
      </c>
      <c r="C1189" s="3"/>
      <c r="D1189" s="4" t="str">
        <f aca="false">IF(AND(EXACT(B1189,C1189),NOT(AND(ISBLANK(B1189),ISBLANK(C1189)))), "Common", "")</f>
        <v/>
      </c>
    </row>
    <row r="1190" customFormat="false" ht="15.75" hidden="false" customHeight="false" outlineLevel="0" collapsed="false">
      <c r="A1190" s="3" t="s">
        <v>2814</v>
      </c>
      <c r="B1190" s="3" t="s">
        <v>1717</v>
      </c>
      <c r="C1190" s="3" t="s">
        <v>1717</v>
      </c>
      <c r="D1190" s="4" t="str">
        <f aca="false">IF(AND(EXACT(B1190,C1190),NOT(AND(ISBLANK(B1190),ISBLANK(C1190)))), "Common", "")</f>
        <v>Common</v>
      </c>
    </row>
    <row r="1191" customFormat="false" ht="15.75" hidden="false" customHeight="false" outlineLevel="0" collapsed="false">
      <c r="A1191" s="4"/>
      <c r="D1191" s="4" t="str">
        <f aca="false">IF(AND(EXACT(B713,C1191),NOT(AND(ISBLANK(B713),ISBLANK(C1191)))), "Common", "")</f>
        <v/>
      </c>
    </row>
    <row r="1192" customFormat="false" ht="15.75" hidden="false" customHeight="false" outlineLevel="0" collapsed="false">
      <c r="A1192" s="4"/>
      <c r="D1192" s="4" t="str">
        <f aca="false">IF(AND(EXACT(B714,C1192),NOT(AND(ISBLANK(B714),ISBLANK(C1192)))), "Common", "")</f>
        <v/>
      </c>
    </row>
    <row r="1193" customFormat="false" ht="15.75" hidden="false" customHeight="false" outlineLevel="0" collapsed="false">
      <c r="A1193" s="4"/>
      <c r="D1193" s="4" t="str">
        <f aca="false">IF(AND(EXACT(B1193,C1193),NOT(AND(ISBLANK(B1193),ISBLANK(C1193)))), "Common", "")</f>
        <v/>
      </c>
    </row>
    <row r="1194" customFormat="false" ht="15.75" hidden="false" customHeight="false" outlineLevel="0" collapsed="false">
      <c r="A1194" s="4"/>
      <c r="D1194" s="4" t="str">
        <f aca="false">IF(AND(EXACT(B1194,C1194),NOT(AND(ISBLANK(B1194),ISBLANK(C1194)))), "Common", "")</f>
        <v/>
      </c>
    </row>
    <row r="1195" customFormat="false" ht="15.75" hidden="false" customHeight="false" outlineLevel="0" collapsed="false">
      <c r="A1195" s="4"/>
      <c r="D1195" s="4" t="str">
        <f aca="false">IF(AND(EXACT(B1195,C1195),NOT(AND(ISBLANK(B1195),ISBLANK(C1195)))), "Common", "")</f>
        <v/>
      </c>
    </row>
    <row r="1196" customFormat="false" ht="15.75" hidden="false" customHeight="false" outlineLevel="0" collapsed="false">
      <c r="A1196" s="4"/>
      <c r="D1196" s="4" t="str">
        <f aca="false">IF(AND(EXACT(B1196,C1196),NOT(AND(ISBLANK(B1196),ISBLANK(C1196)))), "Common", "")</f>
        <v/>
      </c>
    </row>
    <row r="1197" customFormat="false" ht="15.75" hidden="false" customHeight="false" outlineLevel="0" collapsed="false">
      <c r="A1197" s="4"/>
      <c r="D1197" s="4" t="str">
        <f aca="false">IF(AND(EXACT(B1197,C1197),NOT(AND(ISBLANK(B1197),ISBLANK(C1197)))), "Common", "")</f>
        <v/>
      </c>
    </row>
    <row r="1198" customFormat="false" ht="15.75" hidden="false" customHeight="false" outlineLevel="0" collapsed="false">
      <c r="A1198" s="4"/>
      <c r="D1198" s="4" t="str">
        <f aca="false">IF(AND(EXACT(B1198,C1198),NOT(AND(ISBLANK(B1198),ISBLANK(C1198)))), "Common", "")</f>
        <v/>
      </c>
    </row>
    <row r="1199" customFormat="false" ht="15.75" hidden="false" customHeight="false" outlineLevel="0" collapsed="false">
      <c r="A1199" s="4"/>
      <c r="D1199" s="4" t="str">
        <f aca="false">IF(AND(EXACT(B1199,C1199),NOT(AND(ISBLANK(B1199),ISBLANK(C1199)))), "Common", "")</f>
        <v/>
      </c>
    </row>
    <row r="1200" customFormat="false" ht="15.75" hidden="false" customHeight="false" outlineLevel="0" collapsed="false">
      <c r="A1200" s="4"/>
      <c r="D1200" s="4" t="str">
        <f aca="false">IF(AND(EXACT(B1040,C1040),NOT(AND(ISBLANK(B1040),ISBLANK(C1040)))), "Common", "")</f>
        <v/>
      </c>
    </row>
    <row r="1201" customFormat="false" ht="15.75" hidden="false" customHeight="false" outlineLevel="0" collapsed="false">
      <c r="A1201" s="4"/>
      <c r="D1201" s="7" t="e">
        <f aca="false">IF(AND(EXACT(#REF!,#REF!),NOT(AND(ISBLANK(#REF!),ISBLANK(#REF!)))), "Common", "")</f>
        <v>#REF!</v>
      </c>
    </row>
    <row r="1202" customFormat="false" ht="15.75" hidden="false" customHeight="false" outlineLevel="0" collapsed="false">
      <c r="A1202" s="4"/>
      <c r="D1202" s="4" t="str">
        <f aca="false">IF(AND(EXACT(B1041,C1041),NOT(AND(ISBLANK(B1041),ISBLANK(C1041)))), "Common", "")</f>
        <v>Common</v>
      </c>
    </row>
    <row r="1203" customFormat="false" ht="15.75" hidden="false" customHeight="false" outlineLevel="0" collapsed="false">
      <c r="A1203" s="4"/>
      <c r="D1203" s="4" t="str">
        <f aca="false">IF(AND(EXACT(B1042,C1042),NOT(AND(ISBLANK(B1042),ISBLANK(C1042)))), "Common", "")</f>
        <v>Common</v>
      </c>
    </row>
    <row r="1204" customFormat="false" ht="15.75" hidden="false" customHeight="false" outlineLevel="0" collapsed="false">
      <c r="A1204" s="4"/>
      <c r="D1204" s="4" t="str">
        <f aca="false">IF(AND(EXACT(B537,C1204),NOT(AND(ISBLANK(B537),ISBLANK(C1204)))), "Common", "")</f>
        <v/>
      </c>
    </row>
    <row r="1205" customFormat="false" ht="15.75" hidden="false" customHeight="false" outlineLevel="0" collapsed="false">
      <c r="A1205" s="4"/>
      <c r="D1205" s="4" t="str">
        <f aca="false">IF(AND(EXACT(B1205,C1205),NOT(AND(ISBLANK(B1205),ISBLANK(C1205)))), "Common", "")</f>
        <v/>
      </c>
    </row>
    <row r="1206" customFormat="false" ht="15.75" hidden="false" customHeight="false" outlineLevel="0" collapsed="false">
      <c r="A1206" s="4"/>
      <c r="D1206" s="4" t="str">
        <f aca="false">IF(AND(EXACT(B1206,C1206),NOT(AND(ISBLANK(B1206),ISBLANK(C1206)))), "Common", "")</f>
        <v/>
      </c>
    </row>
    <row r="1207" customFormat="false" ht="15.75" hidden="false" customHeight="false" outlineLevel="0" collapsed="false">
      <c r="A1207" s="4"/>
      <c r="D1207" s="4" t="str">
        <f aca="false">IF(AND(EXACT(B1207,C1207),NOT(AND(ISBLANK(B1207),ISBLANK(C1207)))), "Common", "")</f>
        <v/>
      </c>
    </row>
    <row r="1208" customFormat="false" ht="15.75" hidden="false" customHeight="false" outlineLevel="0" collapsed="false">
      <c r="A1208" s="4"/>
      <c r="D1208" s="4" t="str">
        <f aca="false">IF(AND(EXACT(B1208,C1208),NOT(AND(ISBLANK(B1208),ISBLANK(C1208)))), "Common", "")</f>
        <v/>
      </c>
    </row>
    <row r="1209" customFormat="false" ht="15.75" hidden="false" customHeight="false" outlineLevel="0" collapsed="false">
      <c r="A1209" s="4"/>
      <c r="D1209" s="4" t="str">
        <f aca="false">IF(AND(EXACT(B1209,C1209),NOT(AND(ISBLANK(B1209),ISBLANK(C1209)))), "Common", "")</f>
        <v/>
      </c>
    </row>
    <row r="1210" customFormat="false" ht="15.75" hidden="false" customHeight="false" outlineLevel="0" collapsed="false">
      <c r="A1210" s="4"/>
      <c r="B1210" s="3"/>
      <c r="D1210" s="4" t="str">
        <f aca="false">IF(AND(EXACT(B1210,C1210),NOT(AND(ISBLANK(B1210),ISBLANK(C1210)))), "Common", "")</f>
        <v/>
      </c>
    </row>
    <row r="1211" customFormat="false" ht="15.75" hidden="false" customHeight="false" outlineLevel="0" collapsed="false">
      <c r="A1211" s="4"/>
      <c r="D1211" s="4" t="str">
        <f aca="false">IF(AND(EXACT(B1211,C1211),NOT(AND(ISBLANK(B1211),ISBLANK(C1211)))), "Common", "")</f>
        <v/>
      </c>
    </row>
    <row r="1212" customFormat="false" ht="15.75" hidden="false" customHeight="false" outlineLevel="0" collapsed="false">
      <c r="A1212" s="4"/>
      <c r="D1212" s="4" t="str">
        <f aca="false">IF(AND(EXACT(B1212,C1212),NOT(AND(ISBLANK(B1212),ISBLANK(C1212)))), "Common", "")</f>
        <v/>
      </c>
    </row>
    <row r="1213" customFormat="false" ht="15.75" hidden="false" customHeight="false" outlineLevel="0" collapsed="false">
      <c r="A1213" s="4"/>
      <c r="D1213" s="4" t="str">
        <f aca="false">IF(AND(EXACT(B1213,C1213),NOT(AND(ISBLANK(B1213),ISBLANK(C1213)))), "Common", "")</f>
        <v/>
      </c>
    </row>
    <row r="1214" customFormat="false" ht="15.75" hidden="false" customHeight="false" outlineLevel="0" collapsed="false">
      <c r="A1214" s="4"/>
      <c r="D1214" s="4" t="str">
        <f aca="false">IF(AND(EXACT(B1214,C1214),NOT(AND(ISBLANK(B1214),ISBLANK(C1214)))), "Common", "")</f>
        <v/>
      </c>
    </row>
    <row r="1215" customFormat="false" ht="15.75" hidden="false" customHeight="false" outlineLevel="0" collapsed="false">
      <c r="A1215" s="4"/>
      <c r="D1215" s="4" t="str">
        <f aca="false">IF(AND(EXACT(B1215,C1215),NOT(AND(ISBLANK(B1215),ISBLANK(C1215)))), "Common", "")</f>
        <v/>
      </c>
    </row>
    <row r="1216" customFormat="false" ht="15.75" hidden="false" customHeight="false" outlineLevel="0" collapsed="false">
      <c r="A1216" s="4"/>
      <c r="D1216" s="4" t="str">
        <f aca="false">IF(AND(EXACT(B1216,C1216),NOT(AND(ISBLANK(B1216),ISBLANK(C1216)))), "Common", "")</f>
        <v/>
      </c>
    </row>
    <row r="1217" customFormat="false" ht="15.75" hidden="false" customHeight="false" outlineLevel="0" collapsed="false">
      <c r="A1217" s="3"/>
      <c r="B1217" s="3"/>
      <c r="C1217" s="3"/>
      <c r="D1217" s="4" t="str">
        <f aca="false">IF(AND(EXACT(B1217,C1217),NOT(AND(ISBLANK(B1217),ISBLANK(C1217)))), "Common", "")</f>
        <v/>
      </c>
    </row>
    <row r="1218" customFormat="false" ht="15.75" hidden="false" customHeight="false" outlineLevel="0" collapsed="false">
      <c r="A1218" s="3" t="s">
        <v>2815</v>
      </c>
      <c r="B1218" s="3" t="s">
        <v>2212</v>
      </c>
      <c r="C1218" s="3" t="s">
        <v>2434</v>
      </c>
      <c r="D1218" s="4" t="str">
        <f aca="false">IF(AND(EXACT(B1218,C1218),NOT(AND(ISBLANK(B1218),ISBLANK(C1218)))), "Common", "")</f>
        <v/>
      </c>
    </row>
    <row r="1219" customFormat="false" ht="15.75" hidden="false" customHeight="false" outlineLevel="0" collapsed="false">
      <c r="A1219" s="3" t="s">
        <v>2815</v>
      </c>
      <c r="B1219" s="3" t="s">
        <v>2214</v>
      </c>
      <c r="D1219" s="4" t="str">
        <f aca="false">IF(AND(EXACT(B1219,C1219),NOT(AND(ISBLANK(B1219),ISBLANK(C1219)))), "Common", "")</f>
        <v/>
      </c>
    </row>
    <row r="1220" customFormat="false" ht="15.75" hidden="false" customHeight="false" outlineLevel="0" collapsed="false">
      <c r="A1220" s="3" t="s">
        <v>2815</v>
      </c>
      <c r="B1220" s="3" t="s">
        <v>2216</v>
      </c>
      <c r="D1220" s="4" t="str">
        <f aca="false">IF(AND(EXACT(B1220,C1220),NOT(AND(ISBLANK(B1220),ISBLANK(C1220)))), "Common", "")</f>
        <v/>
      </c>
    </row>
    <row r="1221" customFormat="false" ht="15.75" hidden="false" customHeight="false" outlineLevel="0" collapsed="false">
      <c r="A1221" s="3" t="s">
        <v>2815</v>
      </c>
      <c r="B1221" s="3" t="s">
        <v>2226</v>
      </c>
      <c r="D1221" s="4" t="str">
        <f aca="false">IF(AND(EXACT(B1221,C1221),NOT(AND(ISBLANK(B1221),ISBLANK(C1221)))), "Common", "")</f>
        <v/>
      </c>
    </row>
    <row r="1222" customFormat="false" ht="15.75" hidden="false" customHeight="false" outlineLevel="0" collapsed="false">
      <c r="A1222" s="3" t="s">
        <v>2815</v>
      </c>
      <c r="B1222" s="3" t="s">
        <v>2224</v>
      </c>
      <c r="D1222" s="4" t="str">
        <f aca="false">IF(AND(EXACT(B1222,C1222),NOT(AND(ISBLANK(B1222),ISBLANK(C1222)))), "Common", "")</f>
        <v/>
      </c>
    </row>
    <row r="1223" customFormat="false" ht="15.75" hidden="false" customHeight="false" outlineLevel="0" collapsed="false">
      <c r="A1223" s="3" t="s">
        <v>2815</v>
      </c>
      <c r="B1223" s="3" t="s">
        <v>2240</v>
      </c>
      <c r="C1223" s="3" t="s">
        <v>2240</v>
      </c>
      <c r="D1223" s="4" t="str">
        <f aca="false">IF(AND(EXACT(B1223,C1223),NOT(AND(ISBLANK(B1223),ISBLANK(C1223)))), "Common", "")</f>
        <v>Common</v>
      </c>
    </row>
    <row r="1224" customFormat="false" ht="15.75" hidden="false" customHeight="false" outlineLevel="0" collapsed="false">
      <c r="A1224" s="3" t="s">
        <v>2815</v>
      </c>
      <c r="B1224" s="3" t="s">
        <v>2242</v>
      </c>
      <c r="C1224" s="3" t="s">
        <v>2242</v>
      </c>
      <c r="D1224" s="4" t="str">
        <f aca="false">IF(AND(EXACT(B1224,C1224),NOT(AND(ISBLANK(B1224),ISBLANK(C1224)))), "Common", "")</f>
        <v>Common</v>
      </c>
    </row>
    <row r="1225" customFormat="false" ht="15.75" hidden="false" customHeight="false" outlineLevel="0" collapsed="false">
      <c r="A1225" s="3"/>
      <c r="B1225" s="3"/>
      <c r="C1225" s="3"/>
      <c r="D1225" s="4" t="str">
        <f aca="false">IF(AND(EXACT(B1225,C1225),NOT(AND(ISBLANK(B1225),ISBLANK(C1225)))), "Common", "")</f>
        <v/>
      </c>
    </row>
    <row r="1226" customFormat="false" ht="15.75" hidden="false" customHeight="false" outlineLevel="0" collapsed="false">
      <c r="A1226" s="3"/>
      <c r="B1226" s="3"/>
      <c r="C1226" s="3"/>
      <c r="D1226" s="4" t="str">
        <f aca="false">IF(AND(EXACT(B1226,C1226),NOT(AND(ISBLANK(B1226),ISBLANK(C1226)))), "Common", "")</f>
        <v/>
      </c>
    </row>
    <row r="1227" customFormat="false" ht="15.75" hidden="false" customHeight="false" outlineLevel="0" collapsed="false">
      <c r="A1227" s="3" t="s">
        <v>2816</v>
      </c>
      <c r="B1227" s="3" t="s">
        <v>2218</v>
      </c>
      <c r="C1227" s="3" t="s">
        <v>2218</v>
      </c>
      <c r="D1227" s="4" t="str">
        <f aca="false">IF(AND(EXACT(B1227,C1227),NOT(AND(ISBLANK(B1227),ISBLANK(C1227)))), "Common", "")</f>
        <v>Common</v>
      </c>
    </row>
    <row r="1228" customFormat="false" ht="15.75" hidden="false" customHeight="false" outlineLevel="0" collapsed="false">
      <c r="A1228" s="4"/>
      <c r="D1228" s="4" t="str">
        <f aca="false">IF(AND(EXACT(B1228,C1228),NOT(AND(ISBLANK(B1228),ISBLANK(C1228)))), "Common", "")</f>
        <v/>
      </c>
    </row>
    <row r="1229" customFormat="false" ht="15.75" hidden="false" customHeight="false" outlineLevel="0" collapsed="false">
      <c r="A1229" s="3" t="s">
        <v>2817</v>
      </c>
      <c r="B1229" s="3" t="s">
        <v>2204</v>
      </c>
      <c r="C1229" s="3" t="s">
        <v>2306</v>
      </c>
      <c r="D1229" s="4" t="str">
        <f aca="false">IF(AND(EXACT(B1229,C1229),NOT(AND(ISBLANK(B1229),ISBLANK(C1229)))), "Common", "")</f>
        <v/>
      </c>
    </row>
    <row r="1230" customFormat="false" ht="15.75" hidden="false" customHeight="false" outlineLevel="0" collapsed="false">
      <c r="A1230" s="3" t="s">
        <v>2817</v>
      </c>
      <c r="B1230" s="3" t="s">
        <v>2206</v>
      </c>
      <c r="C1230" s="3" t="s">
        <v>2206</v>
      </c>
      <c r="D1230" s="4" t="str">
        <f aca="false">IF(AND(EXACT(B1230,C1230),NOT(AND(ISBLANK(B1230),ISBLANK(C1230)))), "Common", "")</f>
        <v>Common</v>
      </c>
    </row>
    <row r="1231" customFormat="false" ht="15.75" hidden="false" customHeight="false" outlineLevel="0" collapsed="false">
      <c r="A1231" s="3" t="s">
        <v>2817</v>
      </c>
      <c r="B1231" s="3" t="s">
        <v>2208</v>
      </c>
      <c r="C1231" s="3" t="s">
        <v>2208</v>
      </c>
      <c r="D1231" s="4" t="str">
        <f aca="false">IF(AND(EXACT(B1231,C1231),NOT(AND(ISBLANK(B1231),ISBLANK(C1231)))), "Common", "")</f>
        <v>Common</v>
      </c>
    </row>
    <row r="1232" customFormat="false" ht="15.75" hidden="false" customHeight="false" outlineLevel="0" collapsed="false">
      <c r="A1232" s="3" t="s">
        <v>2818</v>
      </c>
      <c r="B1232" s="3" t="s">
        <v>2210</v>
      </c>
      <c r="D1232" s="4" t="str">
        <f aca="false">IF(AND(EXACT(B1232,C1232),NOT(AND(ISBLANK(B1232),ISBLANK(C1232)))), "Common", "")</f>
        <v/>
      </c>
    </row>
    <row r="1233" customFormat="false" ht="15.75" hidden="false" customHeight="false" outlineLevel="0" collapsed="false">
      <c r="A1233" s="3" t="s">
        <v>2818</v>
      </c>
      <c r="C1233" s="3" t="s">
        <v>2322</v>
      </c>
      <c r="D1233" s="4" t="str">
        <f aca="false">IF(AND(EXACT(B1233,C1233),NOT(AND(ISBLANK(B1233),ISBLANK(C1233)))), "Common", "")</f>
        <v/>
      </c>
    </row>
    <row r="1234" customFormat="false" ht="15.75" hidden="false" customHeight="false" outlineLevel="0" collapsed="false">
      <c r="A1234" s="4"/>
      <c r="D1234" s="4" t="str">
        <f aca="false">IF(AND(EXACT(B1234,C1234),NOT(AND(ISBLANK(B1234),ISBLANK(C1234)))), "Common", "")</f>
        <v/>
      </c>
    </row>
    <row r="1235" customFormat="false" ht="15.75" hidden="false" customHeight="false" outlineLevel="0" collapsed="false">
      <c r="A1235" s="3" t="s">
        <v>2819</v>
      </c>
      <c r="C1235" s="3" t="s">
        <v>2318</v>
      </c>
      <c r="D1235" s="4" t="str">
        <f aca="false">IF(AND(EXACT(B1235,C1235),NOT(AND(ISBLANK(B1235),ISBLANK(C1235)))), "Common", "")</f>
        <v/>
      </c>
    </row>
    <row r="1236" customFormat="false" ht="15.75" hidden="false" customHeight="false" outlineLevel="0" collapsed="false">
      <c r="A1236" s="4"/>
      <c r="D1236" s="4" t="str">
        <f aca="false">IF(AND(EXACT(B1236,C1236),NOT(AND(ISBLANK(B1236),ISBLANK(C1236)))), "Common", "")</f>
        <v/>
      </c>
    </row>
    <row r="1237" customFormat="false" ht="15.75" hidden="false" customHeight="false" outlineLevel="0" collapsed="false">
      <c r="A1237" s="4"/>
      <c r="D1237" s="4" t="str">
        <f aca="false">IF(AND(EXACT(B1237,C1237),NOT(AND(ISBLANK(B1237),ISBLANK(C1237)))), "Common", "")</f>
        <v/>
      </c>
    </row>
    <row r="1238" customFormat="false" ht="15.75" hidden="false" customHeight="false" outlineLevel="0" collapsed="false">
      <c r="A1238" s="6"/>
      <c r="B1238" s="3"/>
      <c r="C1238" s="3"/>
      <c r="D1238" s="4" t="str">
        <f aca="false">IF(AND(EXACT(B1238,C1238),NOT(AND(ISBLANK(B1238),ISBLANK(C1238)))), "Common", "")</f>
        <v/>
      </c>
    </row>
    <row r="1239" customFormat="false" ht="15.75" hidden="false" customHeight="false" outlineLevel="0" collapsed="false">
      <c r="A1239" s="3" t="s">
        <v>2820</v>
      </c>
      <c r="B1239" s="3" t="s">
        <v>1877</v>
      </c>
      <c r="C1239" s="3" t="s">
        <v>1877</v>
      </c>
      <c r="D1239" s="4" t="str">
        <f aca="false">IF(AND(EXACT(B1239,C1239),NOT(AND(ISBLANK(B1239),ISBLANK(C1239)))), "Common", "")</f>
        <v>Common</v>
      </c>
    </row>
    <row r="1240" customFormat="false" ht="15.75" hidden="false" customHeight="false" outlineLevel="0" collapsed="false">
      <c r="A1240" s="3" t="s">
        <v>2820</v>
      </c>
      <c r="B1240" s="3"/>
      <c r="C1240" s="3" t="s">
        <v>1773</v>
      </c>
      <c r="D1240" s="4" t="str">
        <f aca="false">IF(AND(EXACT(B1240,C1240),NOT(AND(ISBLANK(B1240),ISBLANK(C1240)))), "Common", "")</f>
        <v/>
      </c>
    </row>
    <row r="1241" customFormat="false" ht="15.75" hidden="false" customHeight="false" outlineLevel="0" collapsed="false">
      <c r="A1241" s="3" t="s">
        <v>2820</v>
      </c>
      <c r="B1241" s="3" t="s">
        <v>2222</v>
      </c>
      <c r="C1241" s="3"/>
      <c r="D1241" s="4" t="str">
        <f aca="false">IF(AND(EXACT(B1241,C1241),NOT(AND(ISBLANK(B1241),ISBLANK(C1241)))), "Common", "")</f>
        <v/>
      </c>
    </row>
    <row r="1242" customFormat="false" ht="15.75" hidden="false" customHeight="false" outlineLevel="0" collapsed="false">
      <c r="A1242" s="3" t="s">
        <v>2820</v>
      </c>
      <c r="B1242" s="3" t="s">
        <v>2198</v>
      </c>
      <c r="C1242" s="3"/>
      <c r="D1242" s="4" t="str">
        <f aca="false">IF(AND(EXACT(B1242,C1242),NOT(AND(ISBLANK(B1242),ISBLANK(C1242)))), "Common", "")</f>
        <v/>
      </c>
    </row>
    <row r="1243" customFormat="false" ht="15.75" hidden="false" customHeight="false" outlineLevel="0" collapsed="false">
      <c r="A1243" s="3" t="s">
        <v>2820</v>
      </c>
      <c r="B1243" s="3" t="s">
        <v>2200</v>
      </c>
      <c r="C1243" s="3"/>
      <c r="D1243" s="4" t="str">
        <f aca="false">IF(AND(EXACT(B1243,C1243),NOT(AND(ISBLANK(B1243),ISBLANK(C1243)))), "Common", "")</f>
        <v/>
      </c>
    </row>
    <row r="1244" customFormat="false" ht="15.75" hidden="false" customHeight="false" outlineLevel="0" collapsed="false">
      <c r="A1244" s="3" t="s">
        <v>2820</v>
      </c>
      <c r="B1244" s="3" t="s">
        <v>2238</v>
      </c>
      <c r="C1244" s="3"/>
      <c r="D1244" s="4" t="str">
        <f aca="false">IF(AND(EXACT(B1244,C1244),NOT(AND(ISBLANK(B1244),ISBLANK(C1244)))), "Common", "")</f>
        <v/>
      </c>
    </row>
    <row r="1245" customFormat="false" ht="15.75" hidden="false" customHeight="false" outlineLevel="0" collapsed="false">
      <c r="A1245" s="3" t="s">
        <v>2820</v>
      </c>
      <c r="B1245" s="3"/>
      <c r="C1245" s="3" t="s">
        <v>1191</v>
      </c>
      <c r="D1245" s="4" t="str">
        <f aca="false">IF(AND(EXACT(B1245,C1245),NOT(AND(ISBLANK(B1245),ISBLANK(C1245)))), "Common", "")</f>
        <v/>
      </c>
    </row>
    <row r="1246" customFormat="false" ht="15.75" hidden="false" customHeight="false" outlineLevel="0" collapsed="false">
      <c r="A1246" s="3" t="s">
        <v>2820</v>
      </c>
      <c r="C1246" s="3" t="s">
        <v>2314</v>
      </c>
      <c r="D1246" s="4" t="str">
        <f aca="false">IF(AND(EXACT(B1246,C1246),NOT(AND(ISBLANK(B1246),ISBLANK(C1246)))), "Common", "")</f>
        <v/>
      </c>
    </row>
    <row r="1247" customFormat="false" ht="15.75" hidden="false" customHeight="false" outlineLevel="0" collapsed="false">
      <c r="A1247" s="3" t="s">
        <v>2820</v>
      </c>
      <c r="C1247" s="3" t="s">
        <v>2316</v>
      </c>
      <c r="D1247" s="4" t="str">
        <f aca="false">IF(AND(EXACT(B1247,C1247),NOT(AND(ISBLANK(B1247),ISBLANK(C1247)))), "Common", "")</f>
        <v/>
      </c>
    </row>
    <row r="1248" customFormat="false" ht="15.75" hidden="false" customHeight="false" outlineLevel="0" collapsed="false">
      <c r="A1248" s="3" t="s">
        <v>2820</v>
      </c>
      <c r="B1248" s="3"/>
      <c r="C1248" s="3" t="s">
        <v>2310</v>
      </c>
      <c r="D1248" s="4" t="str">
        <f aca="false">IF(AND(EXACT(B1248,C1248),NOT(AND(ISBLANK(B1248),ISBLANK(C1248)))), "Common", "")</f>
        <v/>
      </c>
    </row>
    <row r="1249" customFormat="false" ht="15.75" hidden="false" customHeight="false" outlineLevel="0" collapsed="false">
      <c r="A1249" s="4"/>
      <c r="B1249" s="3"/>
      <c r="D1249" s="4" t="str">
        <f aca="false">IF(AND(EXACT(B1249,C1249),NOT(AND(ISBLANK(B1249),ISBLANK(C1249)))), "Common", "")</f>
        <v/>
      </c>
    </row>
    <row r="1250" customFormat="false" ht="15.75" hidden="false" customHeight="false" outlineLevel="0" collapsed="false">
      <c r="A1250" s="3" t="s">
        <v>2820</v>
      </c>
      <c r="B1250" s="3"/>
      <c r="C1250" s="3" t="s">
        <v>2302</v>
      </c>
      <c r="D1250" s="4" t="str">
        <f aca="false">IF(AND(EXACT(B1250,C1250),NOT(AND(ISBLANK(B1250),ISBLANK(C1250)))), "Common", "")</f>
        <v/>
      </c>
    </row>
    <row r="1251" customFormat="false" ht="15.75" hidden="false" customHeight="false" outlineLevel="0" collapsed="false">
      <c r="A1251" s="3" t="s">
        <v>2820</v>
      </c>
      <c r="B1251" s="3" t="s">
        <v>2202</v>
      </c>
      <c r="C1251" s="3"/>
      <c r="D1251" s="4" t="str">
        <f aca="false">IF(AND(EXACT(B1251,C1251),NOT(AND(ISBLANK(B1251),ISBLANK(C1251)))), "Common", "")</f>
        <v/>
      </c>
    </row>
    <row r="1252" customFormat="false" ht="15.75" hidden="false" customHeight="false" outlineLevel="0" collapsed="false">
      <c r="A1252" s="3" t="s">
        <v>2820</v>
      </c>
      <c r="B1252" s="3" t="s">
        <v>2220</v>
      </c>
      <c r="C1252" s="3" t="s">
        <v>2220</v>
      </c>
      <c r="D1252" s="4" t="str">
        <f aca="false">IF(AND(EXACT(B1252,C1252),NOT(AND(ISBLANK(B1252),ISBLANK(C1252)))), "Common", "")</f>
        <v>Common</v>
      </c>
    </row>
    <row r="1253" customFormat="false" ht="15.75" hidden="false" customHeight="false" outlineLevel="0" collapsed="false">
      <c r="A1253" s="3" t="s">
        <v>2820</v>
      </c>
      <c r="B1253" s="3" t="s">
        <v>2230</v>
      </c>
      <c r="C1253" s="3" t="s">
        <v>2230</v>
      </c>
      <c r="D1253" s="4" t="str">
        <f aca="false">IF(AND(EXACT(B1253,C1253),NOT(AND(ISBLANK(B1253),ISBLANK(C1253)))), "Common", "")</f>
        <v>Common</v>
      </c>
    </row>
    <row r="1254" customFormat="false" ht="15.75" hidden="false" customHeight="false" outlineLevel="0" collapsed="false">
      <c r="A1254" s="3" t="s">
        <v>2820</v>
      </c>
      <c r="B1254" s="3" t="s">
        <v>2232</v>
      </c>
      <c r="C1254" s="3" t="s">
        <v>2232</v>
      </c>
      <c r="D1254" s="4" t="str">
        <f aca="false">IF(AND(EXACT(B1254,C1254),NOT(AND(ISBLANK(B1254),ISBLANK(C1254)))), "Common", "")</f>
        <v>Common</v>
      </c>
    </row>
    <row r="1255" customFormat="false" ht="15.75" hidden="false" customHeight="false" outlineLevel="0" collapsed="false">
      <c r="A1255" s="3" t="s">
        <v>2820</v>
      </c>
      <c r="B1255" s="3" t="s">
        <v>2234</v>
      </c>
      <c r="C1255" s="3" t="s">
        <v>2234</v>
      </c>
      <c r="D1255" s="4" t="str">
        <f aca="false">IF(AND(EXACT(B1255,C1255),NOT(AND(ISBLANK(B1255),ISBLANK(C1255)))), "Common", "")</f>
        <v>Common</v>
      </c>
    </row>
    <row r="1256" customFormat="false" ht="15.75" hidden="false" customHeight="false" outlineLevel="0" collapsed="false">
      <c r="A1256" s="3" t="s">
        <v>2820</v>
      </c>
      <c r="B1256" s="3" t="s">
        <v>2236</v>
      </c>
      <c r="C1256" s="3" t="s">
        <v>2236</v>
      </c>
      <c r="D1256" s="4" t="str">
        <f aca="false">IF(AND(EXACT(B1256,C1256),NOT(AND(ISBLANK(B1256),ISBLANK(C1256)))), "Common", "")</f>
        <v>Common</v>
      </c>
    </row>
    <row r="1257" customFormat="false" ht="15.75" hidden="false" customHeight="false" outlineLevel="0" collapsed="false">
      <c r="A1257" s="3" t="s">
        <v>2820</v>
      </c>
      <c r="C1257" s="3" t="s">
        <v>2304</v>
      </c>
      <c r="D1257" s="4" t="str">
        <f aca="false">IF(AND(EXACT(B1257,C1257),NOT(AND(ISBLANK(B1257),ISBLANK(C1257)))), "Common", "")</f>
        <v/>
      </c>
    </row>
    <row r="1258" customFormat="false" ht="15.75" hidden="false" customHeight="false" outlineLevel="0" collapsed="false">
      <c r="A1258" s="3" t="s">
        <v>2820</v>
      </c>
      <c r="B1258" s="3"/>
      <c r="C1258" s="3" t="s">
        <v>2325</v>
      </c>
      <c r="D1258" s="4" t="str">
        <f aca="false">IF(AND(EXACT(B1258,C1258),NOT(AND(ISBLANK(B1258),ISBLANK(C1258)))), "Common", "")</f>
        <v/>
      </c>
    </row>
    <row r="1259" customFormat="false" ht="15.75" hidden="false" customHeight="false" outlineLevel="0" collapsed="false">
      <c r="A1259" s="3" t="s">
        <v>2820</v>
      </c>
      <c r="B1259" s="3"/>
      <c r="C1259" s="3" t="s">
        <v>2359</v>
      </c>
      <c r="D1259" s="4" t="str">
        <f aca="false">IF(AND(EXACT(B1259,C1259),NOT(AND(ISBLANK(B1259),ISBLANK(C1259)))), "Common", "")</f>
        <v/>
      </c>
    </row>
    <row r="1260" customFormat="false" ht="15.75" hidden="false" customHeight="false" outlineLevel="0" collapsed="false">
      <c r="A1260" s="4"/>
      <c r="B1260" s="3"/>
      <c r="C1260" s="3"/>
      <c r="D1260" s="4" t="str">
        <f aca="false">IF(AND(EXACT(B1260,C1260),NOT(AND(ISBLANK(B1260),ISBLANK(C1260)))), "Common", "")</f>
        <v/>
      </c>
    </row>
    <row r="1261" customFormat="false" ht="15.75" hidden="false" customHeight="false" outlineLevel="0" collapsed="false">
      <c r="A1261" s="4"/>
      <c r="C1261" s="3"/>
      <c r="D1261" s="4" t="str">
        <f aca="false">IF(AND(EXACT(B285,C1261),NOT(AND(ISBLANK(B285),ISBLANK(C1261)))), "Common", "")</f>
        <v/>
      </c>
    </row>
    <row r="1262" customFormat="false" ht="15.75" hidden="false" customHeight="false" outlineLevel="0" collapsed="false">
      <c r="A1262" s="3" t="s">
        <v>2821</v>
      </c>
      <c r="B1262" s="3" t="s">
        <v>1873</v>
      </c>
      <c r="C1262" s="3"/>
      <c r="D1262" s="4" t="str">
        <f aca="false">IF(AND(EXACT(B1262,C1262),NOT(AND(ISBLANK(B1262),ISBLANK(C1262)))), "Common", "")</f>
        <v/>
      </c>
    </row>
    <row r="1263" customFormat="false" ht="15.75" hidden="false" customHeight="false" outlineLevel="0" collapsed="false">
      <c r="A1263" s="4"/>
      <c r="C1263" s="3"/>
      <c r="D1263" s="4" t="str">
        <f aca="false">IF(AND(EXACT(B1263,C1263),NOT(AND(ISBLANK(B1263),ISBLANK(C1263)))), "Common", "")</f>
        <v/>
      </c>
    </row>
    <row r="1264" customFormat="false" ht="15.75" hidden="false" customHeight="false" outlineLevel="0" collapsed="false">
      <c r="A1264" s="4"/>
      <c r="C1264" s="3"/>
      <c r="D1264" s="4" t="str">
        <f aca="false">IF(AND(EXACT(B1264,C1264),NOT(AND(ISBLANK(B1264),ISBLANK(C1264)))), "Common", "")</f>
        <v/>
      </c>
    </row>
    <row r="1265" customFormat="false" ht="15.75" hidden="false" customHeight="false" outlineLevel="0" collapsed="false">
      <c r="A1265" s="4"/>
      <c r="C1265" s="3"/>
      <c r="D1265" s="4" t="str">
        <f aca="false">IF(AND(EXACT(B1265,C1265),NOT(AND(ISBLANK(B1265),ISBLANK(C1265)))), "Common", "")</f>
        <v/>
      </c>
    </row>
    <row r="1266" customFormat="false" ht="15.75" hidden="false" customHeight="false" outlineLevel="0" collapsed="false">
      <c r="A1266" s="4"/>
      <c r="C1266" s="3"/>
      <c r="D1266" s="4" t="str">
        <f aca="false">IF(AND(EXACT(B1266,C1266),NOT(AND(ISBLANK(B1266),ISBLANK(C1266)))), "Common", "")</f>
        <v/>
      </c>
    </row>
    <row r="1267" customFormat="false" ht="15.75" hidden="false" customHeight="false" outlineLevel="0" collapsed="false">
      <c r="A1267" s="3" t="s">
        <v>713</v>
      </c>
      <c r="B1267" s="3" t="s">
        <v>2030</v>
      </c>
      <c r="D1267" s="4" t="str">
        <f aca="false">IF(AND(EXACT(B1267,C1267),NOT(AND(ISBLANK(B1267),ISBLANK(C1267)))), "Common", "")</f>
        <v/>
      </c>
    </row>
    <row r="1268" customFormat="false" ht="15.75" hidden="false" customHeight="false" outlineLevel="0" collapsed="false">
      <c r="A1268" s="3" t="s">
        <v>713</v>
      </c>
      <c r="B1268" s="3" t="s">
        <v>1962</v>
      </c>
      <c r="C1268" s="3"/>
      <c r="D1268" s="4" t="str">
        <f aca="false">IF(AND(EXACT(B1268,C1268),NOT(AND(ISBLANK(B1268),ISBLANK(C1268)))), "Common", "")</f>
        <v/>
      </c>
    </row>
    <row r="1269" customFormat="false" ht="15.75" hidden="false" customHeight="false" outlineLevel="0" collapsed="false">
      <c r="A1269" s="3" t="s">
        <v>713</v>
      </c>
      <c r="B1269" s="3" t="s">
        <v>648</v>
      </c>
      <c r="D1269" s="4" t="str">
        <f aca="false">IF(AND(EXACT(B1269,C1269),NOT(AND(ISBLANK(B1269),ISBLANK(C1269)))), "Common", "")</f>
        <v/>
      </c>
    </row>
    <row r="1270" customFormat="false" ht="15.75" hidden="false" customHeight="false" outlineLevel="0" collapsed="false">
      <c r="A1270" s="3" t="s">
        <v>713</v>
      </c>
      <c r="B1270" s="3" t="s">
        <v>1925</v>
      </c>
      <c r="D1270" s="4" t="str">
        <f aca="false">IF(AND(EXACT(B1270,C1270),NOT(AND(ISBLANK(B1270),ISBLANK(C1270)))), "Common", "")</f>
        <v/>
      </c>
    </row>
    <row r="1271" customFormat="false" ht="15.75" hidden="false" customHeight="false" outlineLevel="0" collapsed="false">
      <c r="A1271" s="3" t="s">
        <v>713</v>
      </c>
      <c r="B1271" s="3" t="s">
        <v>1851</v>
      </c>
      <c r="C1271" s="3"/>
      <c r="D1271" s="4" t="str">
        <f aca="false">IF(AND(EXACT(B1271,C1271),NOT(AND(ISBLANK(B1271),ISBLANK(C1271)))), "Common", "")</f>
        <v/>
      </c>
    </row>
    <row r="1272" customFormat="false" ht="15.75" hidden="false" customHeight="false" outlineLevel="0" collapsed="false">
      <c r="A1272" s="3" t="s">
        <v>713</v>
      </c>
      <c r="B1272" s="3" t="s">
        <v>1853</v>
      </c>
      <c r="C1272" s="3"/>
      <c r="D1272" s="4" t="str">
        <f aca="false">IF(AND(EXACT(B1272,C1272),NOT(AND(ISBLANK(B1272),ISBLANK(C1272)))), "Common", "")</f>
        <v/>
      </c>
    </row>
    <row r="1273" customFormat="false" ht="15.75" hidden="false" customHeight="false" outlineLevel="0" collapsed="false">
      <c r="A1273" s="3" t="s">
        <v>713</v>
      </c>
      <c r="B1273" s="3" t="s">
        <v>1855</v>
      </c>
      <c r="C1273" s="3"/>
      <c r="D1273" s="4" t="str">
        <f aca="false">IF(AND(EXACT(B1273,C1273),NOT(AND(ISBLANK(B1273),ISBLANK(C1273)))), "Common", "")</f>
        <v/>
      </c>
    </row>
    <row r="1274" customFormat="false" ht="15.75" hidden="false" customHeight="false" outlineLevel="0" collapsed="false">
      <c r="A1274" s="4"/>
      <c r="B1274" s="3"/>
      <c r="C1274" s="3"/>
      <c r="D1274" s="4" t="str">
        <f aca="false">IF(AND(EXACT(B1274,C1274),NOT(AND(ISBLANK(B1274),ISBLANK(C1274)))), "Common", "")</f>
        <v/>
      </c>
    </row>
    <row r="1275" customFormat="false" ht="15.75" hidden="false" customHeight="false" outlineLevel="0" collapsed="false">
      <c r="A1275" s="4"/>
      <c r="B1275" s="3"/>
      <c r="D1275" s="4" t="str">
        <f aca="false">IF(AND(EXACT(B1275,C1275),NOT(AND(ISBLANK(B1275),ISBLANK(C1275)))), "Common", "")</f>
        <v/>
      </c>
    </row>
    <row r="1276" customFormat="false" ht="15.75" hidden="false" customHeight="false" outlineLevel="0" collapsed="false">
      <c r="A1276" s="4"/>
      <c r="B1276" s="3"/>
      <c r="C1276" s="3"/>
      <c r="D1276" s="4" t="str">
        <f aca="false">IF(AND(EXACT(B1276,C1276),NOT(AND(ISBLANK(B1276),ISBLANK(C1276)))), "Common", "")</f>
        <v/>
      </c>
    </row>
    <row r="1277" customFormat="false" ht="15.75" hidden="false" customHeight="false" outlineLevel="0" collapsed="false">
      <c r="A1277" s="4"/>
      <c r="B1277" s="3"/>
      <c r="C1277" s="3"/>
      <c r="D1277" s="4" t="str">
        <f aca="false">IF(AND(EXACT(B1277,C1277),NOT(AND(ISBLANK(B1277),ISBLANK(C1277)))), "Common", "")</f>
        <v/>
      </c>
    </row>
    <row r="1278" customFormat="false" ht="15.75" hidden="false" customHeight="false" outlineLevel="0" collapsed="false">
      <c r="A1278" s="4"/>
      <c r="B1278" s="3"/>
      <c r="C1278" s="3"/>
      <c r="D1278" s="4" t="str">
        <f aca="false">IF(AND(EXACT(B1278,C1278),NOT(AND(ISBLANK(B1278),ISBLANK(C1278)))), "Common", "")</f>
        <v/>
      </c>
    </row>
    <row r="1279" customFormat="false" ht="15.75" hidden="false" customHeight="false" outlineLevel="0" collapsed="false">
      <c r="A1279" s="4"/>
      <c r="B1279" s="3"/>
      <c r="C1279" s="3"/>
      <c r="D1279" s="4" t="str">
        <f aca="false">IF(AND(EXACT(B1279,C1279),NOT(AND(ISBLANK(B1279),ISBLANK(C1279)))), "Common", "")</f>
        <v/>
      </c>
    </row>
    <row r="1280" customFormat="false" ht="15.75" hidden="false" customHeight="false" outlineLevel="0" collapsed="false">
      <c r="A1280" s="4"/>
      <c r="B1280" s="3"/>
      <c r="C1280" s="3"/>
      <c r="D1280" s="4" t="str">
        <f aca="false">IF(AND(EXACT(B1280,C1280),NOT(AND(ISBLANK(B1280),ISBLANK(C1280)))), "Common", "")</f>
        <v/>
      </c>
    </row>
    <row r="1281" customFormat="false" ht="15.75" hidden="false" customHeight="false" outlineLevel="0" collapsed="false">
      <c r="A1281" s="4"/>
      <c r="B1281" s="3"/>
      <c r="C1281" s="3"/>
      <c r="D1281" s="4" t="str">
        <f aca="false">IF(AND(EXACT(B1281,C1281),NOT(AND(ISBLANK(B1281),ISBLANK(C1281)))), "Common", "")</f>
        <v/>
      </c>
    </row>
    <row r="1282" customFormat="false" ht="15.75" hidden="false" customHeight="false" outlineLevel="0" collapsed="false">
      <c r="A1282" s="4"/>
      <c r="B1282" s="3"/>
      <c r="C1282" s="3"/>
      <c r="D1282" s="4" t="str">
        <f aca="false">IF(AND(EXACT(B1282,C1282),NOT(AND(ISBLANK(B1282),ISBLANK(C1282)))), "Common", "")</f>
        <v/>
      </c>
    </row>
    <row r="1283" customFormat="false" ht="15.75" hidden="false" customHeight="false" outlineLevel="0" collapsed="false">
      <c r="A1283" s="4"/>
      <c r="B1283" s="3"/>
      <c r="C1283" s="3"/>
      <c r="D1283" s="4" t="str">
        <f aca="false">IF(AND(EXACT(B1283,C1283),NOT(AND(ISBLANK(B1283),ISBLANK(C1283)))), "Common", "")</f>
        <v/>
      </c>
    </row>
    <row r="1284" customFormat="false" ht="15.75" hidden="false" customHeight="false" outlineLevel="0" collapsed="false">
      <c r="A1284" s="4"/>
      <c r="B1284" s="3"/>
      <c r="C1284" s="3"/>
      <c r="D1284" s="4" t="str">
        <f aca="false">IF(AND(EXACT(B1284,C1284),NOT(AND(ISBLANK(B1284),ISBLANK(C1284)))), "Common", "")</f>
        <v/>
      </c>
    </row>
    <row r="1285" customFormat="false" ht="15.75" hidden="false" customHeight="false" outlineLevel="0" collapsed="false">
      <c r="A1285" s="4"/>
      <c r="B1285" s="3"/>
      <c r="C1285" s="3"/>
      <c r="D1285" s="4" t="str">
        <f aca="false">IF(AND(EXACT(B1285,C1285),NOT(AND(ISBLANK(B1285),ISBLANK(C1285)))), "Common", "")</f>
        <v/>
      </c>
    </row>
    <row r="1286" customFormat="false" ht="15.75" hidden="false" customHeight="false" outlineLevel="0" collapsed="false">
      <c r="A1286" s="4"/>
      <c r="B1286" s="3"/>
      <c r="C1286" s="3"/>
      <c r="D1286" s="4" t="str">
        <f aca="false">IF(AND(EXACT(B1286,C1286),NOT(AND(ISBLANK(B1286),ISBLANK(C1286)))), "Common", "")</f>
        <v/>
      </c>
    </row>
    <row r="1287" customFormat="false" ht="15.75" hidden="false" customHeight="false" outlineLevel="0" collapsed="false">
      <c r="A1287" s="4"/>
      <c r="B1287" s="3"/>
      <c r="C1287" s="3"/>
      <c r="D1287" s="4" t="str">
        <f aca="false">IF(AND(EXACT(B1287,C1287),NOT(AND(ISBLANK(B1287),ISBLANK(C1287)))), "Common", "")</f>
        <v/>
      </c>
    </row>
    <row r="1288" customFormat="false" ht="15.75" hidden="false" customHeight="false" outlineLevel="0" collapsed="false">
      <c r="A1288" s="4"/>
      <c r="C1288" s="3"/>
      <c r="D1288" s="4" t="str">
        <f aca="false">IF(AND(EXACT(B1288,C1288),NOT(AND(ISBLANK(B1288),ISBLANK(C1288)))), "Common", "")</f>
        <v/>
      </c>
    </row>
    <row r="1289" customFormat="false" ht="15.75" hidden="false" customHeight="false" outlineLevel="0" collapsed="false">
      <c r="A1289" s="4"/>
      <c r="C1289" s="3"/>
      <c r="D1289" s="4" t="str">
        <f aca="false">IF(AND(EXACT(B1289,C1289),NOT(AND(ISBLANK(B1289),ISBLANK(C1289)))), "Common", "")</f>
        <v/>
      </c>
    </row>
    <row r="1290" customFormat="false" ht="15.75" hidden="false" customHeight="false" outlineLevel="0" collapsed="false">
      <c r="A1290" s="4"/>
      <c r="C1290" s="3"/>
      <c r="D1290" s="4" t="str">
        <f aca="false">IF(AND(EXACT(B1290,C1290),NOT(AND(ISBLANK(B1290),ISBLANK(C1290)))), "Common", "")</f>
        <v/>
      </c>
    </row>
    <row r="1291" customFormat="false" ht="15.75" hidden="false" customHeight="false" outlineLevel="0" collapsed="false">
      <c r="A1291" s="4"/>
      <c r="C1291" s="3"/>
      <c r="D1291" s="4" t="str">
        <f aca="false">IF(AND(EXACT(B1291,C1291),NOT(AND(ISBLANK(B1291),ISBLANK(C1291)))), "Common", "")</f>
        <v/>
      </c>
    </row>
    <row r="1292" customFormat="false" ht="15.75" hidden="false" customHeight="false" outlineLevel="0" collapsed="false">
      <c r="A1292" s="4"/>
      <c r="C1292" s="3"/>
      <c r="D1292" s="4" t="str">
        <f aca="false">IF(AND(EXACT(B1292,C1292),NOT(AND(ISBLANK(B1292),ISBLANK(C1292)))), "Common", "")</f>
        <v/>
      </c>
    </row>
    <row r="1293" customFormat="false" ht="15.75" hidden="false" customHeight="false" outlineLevel="0" collapsed="false">
      <c r="A1293" s="4"/>
      <c r="C1293" s="3"/>
      <c r="D1293" s="4" t="str">
        <f aca="false">IF(AND(EXACT(B1293,C1293),NOT(AND(ISBLANK(B1293),ISBLANK(C1293)))), "Common", "")</f>
        <v/>
      </c>
    </row>
    <row r="1294" customFormat="false" ht="15.75" hidden="false" customHeight="false" outlineLevel="0" collapsed="false">
      <c r="A1294" s="4"/>
      <c r="C1294" s="3"/>
      <c r="D1294" s="4" t="str">
        <f aca="false">IF(AND(EXACT(B1294,C1294),NOT(AND(ISBLANK(B1294),ISBLANK(C1294)))), "Common", "")</f>
        <v/>
      </c>
    </row>
    <row r="1295" customFormat="false" ht="15.75" hidden="false" customHeight="false" outlineLevel="0" collapsed="false">
      <c r="A1295" s="4"/>
      <c r="C1295" s="3"/>
      <c r="D1295" s="4" t="str">
        <f aca="false">IF(AND(EXACT(B1295,C1295),NOT(AND(ISBLANK(B1295),ISBLANK(C1295)))), "Common", "")</f>
        <v/>
      </c>
    </row>
    <row r="1296" customFormat="false" ht="15.75" hidden="false" customHeight="false" outlineLevel="0" collapsed="false">
      <c r="A1296" s="4"/>
      <c r="C1296" s="3"/>
      <c r="D1296" s="4" t="str">
        <f aca="false">IF(AND(EXACT(B1296,C1296),NOT(AND(ISBLANK(B1296),ISBLANK(C1296)))), "Common", "")</f>
        <v/>
      </c>
    </row>
    <row r="1297" customFormat="false" ht="15.75" hidden="false" customHeight="false" outlineLevel="0" collapsed="false">
      <c r="A1297" s="4"/>
      <c r="C1297" s="3"/>
      <c r="D1297" s="4" t="str">
        <f aca="false">IF(AND(EXACT(B1297,C1297),NOT(AND(ISBLANK(B1297),ISBLANK(C1297)))), "Common", "")</f>
        <v/>
      </c>
    </row>
    <row r="1298" customFormat="false" ht="15.75" hidden="false" customHeight="false" outlineLevel="0" collapsed="false">
      <c r="A1298" s="4"/>
      <c r="B1298" s="3"/>
      <c r="C1298" s="3"/>
      <c r="D1298" s="4" t="str">
        <f aca="false">IF(AND(EXACT(B1298,C1298),NOT(AND(ISBLANK(B1298),ISBLANK(C1298)))), "Common", "")</f>
        <v/>
      </c>
    </row>
    <row r="1299" customFormat="false" ht="15.75" hidden="false" customHeight="false" outlineLevel="0" collapsed="false">
      <c r="A1299" s="4"/>
      <c r="B1299" s="3"/>
      <c r="C1299" s="3"/>
      <c r="D1299" s="4" t="str">
        <f aca="false">IF(AND(EXACT(B1299,C1299),NOT(AND(ISBLANK(B1299),ISBLANK(C1299)))), "Common", "")</f>
        <v/>
      </c>
    </row>
    <row r="1300" customFormat="false" ht="15.75" hidden="false" customHeight="false" outlineLevel="0" collapsed="false">
      <c r="A1300" s="4"/>
      <c r="B1300" s="3"/>
      <c r="C1300" s="3"/>
      <c r="D1300" s="4" t="str">
        <f aca="false">IF(AND(EXACT(B1300,C1300),NOT(AND(ISBLANK(B1300),ISBLANK(C1300)))), "Common", "")</f>
        <v/>
      </c>
    </row>
    <row r="1301" customFormat="false" ht="15.75" hidden="false" customHeight="false" outlineLevel="0" collapsed="false">
      <c r="A1301" s="4"/>
      <c r="C1301" s="3"/>
      <c r="D1301" s="4" t="str">
        <f aca="false">IF(AND(EXACT(B1301,C1301),NOT(AND(ISBLANK(B1301),ISBLANK(C1301)))), "Common", "")</f>
        <v/>
      </c>
    </row>
    <row r="1302" customFormat="false" ht="15.75" hidden="false" customHeight="false" outlineLevel="0" collapsed="false">
      <c r="A1302" s="4"/>
      <c r="C1302" s="3"/>
      <c r="D1302" s="4" t="str">
        <f aca="false">IF(AND(EXACT(B1302,C1302),NOT(AND(ISBLANK(B1302),ISBLANK(C1302)))), "Common", "")</f>
        <v/>
      </c>
    </row>
    <row r="1303" customFormat="false" ht="15.75" hidden="false" customHeight="false" outlineLevel="0" collapsed="false">
      <c r="A1303" s="4"/>
      <c r="D1303" s="4" t="str">
        <f aca="false">IF(AND(EXACT(B1303,C1303),NOT(AND(ISBLANK(B1303),ISBLANK(C1303)))), "Common", "")</f>
        <v/>
      </c>
    </row>
    <row r="1304" customFormat="false" ht="15.75" hidden="false" customHeight="false" outlineLevel="0" collapsed="false">
      <c r="A1304" s="4"/>
      <c r="C1304" s="3"/>
      <c r="D1304" s="4" t="str">
        <f aca="false">IF(AND(EXACT(B1304,C1304),NOT(AND(ISBLANK(B1304),ISBLANK(C1304)))), "Common", "")</f>
        <v/>
      </c>
    </row>
    <row r="1305" customFormat="false" ht="15.75" hidden="false" customHeight="false" outlineLevel="0" collapsed="false">
      <c r="A1305" s="4"/>
      <c r="D1305" s="4" t="str">
        <f aca="false">IF(AND(EXACT(B1305,C1305),NOT(AND(ISBLANK(B1305),ISBLANK(C1305)))), "Common", "")</f>
        <v/>
      </c>
    </row>
    <row r="1306" customFormat="false" ht="15.75" hidden="false" customHeight="false" outlineLevel="0" collapsed="false">
      <c r="A1306" s="4"/>
      <c r="C1306" s="3"/>
      <c r="D1306" s="4" t="str">
        <f aca="false">IF(AND(EXACT(B1306,C1306),NOT(AND(ISBLANK(B1306),ISBLANK(C1306)))), "Common", "")</f>
        <v/>
      </c>
    </row>
    <row r="1307" customFormat="false" ht="15.75" hidden="false" customHeight="false" outlineLevel="0" collapsed="false">
      <c r="A1307" s="4"/>
      <c r="C1307" s="3"/>
      <c r="D1307" s="4" t="str">
        <f aca="false">IF(AND(EXACT(B1307,C1307),NOT(AND(ISBLANK(B1307),ISBLANK(C1307)))), "Common", "")</f>
        <v/>
      </c>
    </row>
    <row r="1308" customFormat="false" ht="15.75" hidden="false" customHeight="false" outlineLevel="0" collapsed="false">
      <c r="A1308" s="4"/>
      <c r="C1308" s="3"/>
      <c r="D1308" s="4" t="str">
        <f aca="false">IF(AND(EXACT(B1308,C1308),NOT(AND(ISBLANK(B1308),ISBLANK(C1308)))), "Common", "")</f>
        <v/>
      </c>
    </row>
    <row r="1309" customFormat="false" ht="15.75" hidden="false" customHeight="false" outlineLevel="0" collapsed="false">
      <c r="A1309" s="4"/>
      <c r="C1309" s="3"/>
      <c r="D1309" s="4" t="str">
        <f aca="false">IF(AND(EXACT(B1309,C1309),NOT(AND(ISBLANK(B1309),ISBLANK(C1309)))), "Common", "")</f>
        <v/>
      </c>
    </row>
    <row r="1310" customFormat="false" ht="15.75" hidden="false" customHeight="false" outlineLevel="0" collapsed="false">
      <c r="A1310" s="4"/>
      <c r="D1310" s="4" t="str">
        <f aca="false">IF(AND(EXACT(B1310,C1310),NOT(AND(ISBLANK(B1310),ISBLANK(C1310)))), "Common", "")</f>
        <v/>
      </c>
    </row>
    <row r="1311" customFormat="false" ht="15.75" hidden="false" customHeight="false" outlineLevel="0" collapsed="false">
      <c r="A1311" s="4"/>
      <c r="C1311" s="3"/>
      <c r="D1311" s="4" t="str">
        <f aca="false">IF(AND(EXACT(B1311,C1311),NOT(AND(ISBLANK(B1311),ISBLANK(C1311)))), "Common", "")</f>
        <v/>
      </c>
    </row>
    <row r="1312" customFormat="false" ht="15.75" hidden="false" customHeight="false" outlineLevel="0" collapsed="false">
      <c r="A1312" s="4"/>
      <c r="C1312" s="3"/>
    </row>
    <row r="1313" customFormat="false" ht="15.75" hidden="false" customHeight="false" outlineLevel="0" collapsed="false">
      <c r="A1313" s="4"/>
      <c r="C1313" s="3"/>
    </row>
    <row r="1314" customFormat="false" ht="15.75" hidden="false" customHeight="false" outlineLevel="0" collapsed="false">
      <c r="A1314" s="4"/>
      <c r="C1314" s="3"/>
    </row>
    <row r="1315" customFormat="false" ht="15.75" hidden="false" customHeight="false" outlineLevel="0" collapsed="false">
      <c r="A1315" s="4"/>
      <c r="B1315" s="3"/>
      <c r="C1315" s="3"/>
    </row>
    <row r="1316" customFormat="false" ht="15.75" hidden="false" customHeight="false" outlineLevel="0" collapsed="false">
      <c r="A1316" s="4"/>
      <c r="B1316" s="3"/>
    </row>
    <row r="1317" customFormat="false" ht="15.75" hidden="false" customHeight="false" outlineLevel="0" collapsed="false">
      <c r="A1317" s="4"/>
      <c r="C1317" s="3"/>
    </row>
    <row r="1318" customFormat="false" ht="15.75" hidden="false" customHeight="false" outlineLevel="0" collapsed="false">
      <c r="A1318" s="4"/>
      <c r="B1318" s="3"/>
      <c r="C1318" s="3"/>
    </row>
    <row r="1319" customFormat="false" ht="15.75" hidden="false" customHeight="false" outlineLevel="0" collapsed="false">
      <c r="A1319" s="4"/>
      <c r="C1319" s="3"/>
    </row>
    <row r="1320" customFormat="false" ht="15.75" hidden="false" customHeight="false" outlineLevel="0" collapsed="false">
      <c r="A1320" s="4"/>
      <c r="C1320" s="3"/>
    </row>
    <row r="1321" customFormat="false" ht="15.75" hidden="false" customHeight="false" outlineLevel="0" collapsed="false">
      <c r="A1321" s="4"/>
      <c r="C1321" s="3"/>
    </row>
    <row r="1322" customFormat="false" ht="15.75" hidden="false" customHeight="false" outlineLevel="0" collapsed="false">
      <c r="A1322" s="4"/>
      <c r="C1322" s="3"/>
    </row>
    <row r="1323" customFormat="false" ht="15.75" hidden="false" customHeight="false" outlineLevel="0" collapsed="false">
      <c r="A1323" s="4"/>
      <c r="C1323" s="3"/>
    </row>
    <row r="1324" customFormat="false" ht="15.75" hidden="false" customHeight="false" outlineLevel="0" collapsed="false">
      <c r="A1324" s="4"/>
      <c r="C1324" s="3"/>
    </row>
    <row r="1325" customFormat="false" ht="15.75" hidden="false" customHeight="false" outlineLevel="0" collapsed="false">
      <c r="A1325" s="4"/>
    </row>
    <row r="1326" customFormat="false" ht="15.75" hidden="false" customHeight="false" outlineLevel="0" collapsed="false">
      <c r="A1326" s="3"/>
      <c r="C1326" s="3"/>
    </row>
    <row r="1327" customFormat="false" ht="15.75" hidden="false" customHeight="false" outlineLevel="0" collapsed="false">
      <c r="A1327" s="4"/>
    </row>
    <row r="1328" customFormat="false" ht="15.75" hidden="false" customHeight="false" outlineLevel="0" collapsed="false">
      <c r="A1328" s="4"/>
    </row>
    <row r="1329" customFormat="false" ht="15.75" hidden="false" customHeight="false" outlineLevel="0" collapsed="false">
      <c r="A1329" s="4"/>
    </row>
    <row r="1330" customFormat="false" ht="15.75" hidden="false" customHeight="false" outlineLevel="0" collapsed="false">
      <c r="A1330" s="4"/>
    </row>
    <row r="1331" customFormat="false" ht="15.75" hidden="false" customHeight="false" outlineLevel="0" collapsed="false">
      <c r="A1331" s="4"/>
    </row>
    <row r="1332" customFormat="false" ht="15.75" hidden="false" customHeight="false" outlineLevel="0" collapsed="false">
      <c r="A1332" s="4"/>
    </row>
    <row r="1333" customFormat="false" ht="15.75" hidden="false" customHeight="false" outlineLevel="0" collapsed="false">
      <c r="A1333" s="4"/>
    </row>
    <row r="1334" customFormat="false" ht="15.75" hidden="false" customHeight="false" outlineLevel="0" collapsed="false">
      <c r="A1334" s="4"/>
    </row>
    <row r="1335" customFormat="false" ht="15.75" hidden="false" customHeight="false" outlineLevel="0" collapsed="false">
      <c r="A1335" s="4"/>
    </row>
    <row r="1336" customFormat="false" ht="15.75" hidden="false" customHeight="false" outlineLevel="0" collapsed="false">
      <c r="A1336" s="4"/>
    </row>
    <row r="1337" customFormat="false" ht="15.75" hidden="false" customHeight="false" outlineLevel="0" collapsed="false">
      <c r="A1337" s="4"/>
    </row>
    <row r="1338" customFormat="false" ht="15.75" hidden="false" customHeight="false" outlineLevel="0" collapsed="false">
      <c r="A1338" s="4"/>
    </row>
    <row r="1339" customFormat="false" ht="15.75" hidden="false" customHeight="false" outlineLevel="0" collapsed="false">
      <c r="A1339" s="4"/>
    </row>
    <row r="1340" customFormat="false" ht="15.75" hidden="false" customHeight="false" outlineLevel="0" collapsed="false">
      <c r="A1340" s="4"/>
    </row>
    <row r="1341" customFormat="false" ht="15.75" hidden="false" customHeight="false" outlineLevel="0" collapsed="false">
      <c r="A1341" s="4"/>
    </row>
    <row r="1342" customFormat="false" ht="15.75" hidden="false" customHeight="false" outlineLevel="0" collapsed="false">
      <c r="A1342" s="4"/>
    </row>
    <row r="1343" customFormat="false" ht="15.75" hidden="false" customHeight="false" outlineLevel="0" collapsed="false">
      <c r="A1343" s="4"/>
    </row>
    <row r="1344" customFormat="false" ht="15.75" hidden="false" customHeight="false" outlineLevel="0" collapsed="false">
      <c r="A1344" s="4"/>
    </row>
    <row r="1345" customFormat="false" ht="15.75" hidden="false" customHeight="false" outlineLevel="0" collapsed="false">
      <c r="A1345" s="4"/>
    </row>
    <row r="1346" customFormat="false" ht="15.75" hidden="false" customHeight="false" outlineLevel="0" collapsed="false">
      <c r="A1346" s="4"/>
    </row>
    <row r="1347" customFormat="false" ht="15.75" hidden="false" customHeight="false" outlineLevel="0" collapsed="false">
      <c r="A1347" s="4"/>
    </row>
    <row r="1348" customFormat="false" ht="15.75" hidden="false" customHeight="false" outlineLevel="0" collapsed="false">
      <c r="A1348" s="4"/>
    </row>
    <row r="1349" customFormat="false" ht="15.75" hidden="false" customHeight="false" outlineLevel="0" collapsed="false">
      <c r="A1349" s="4"/>
    </row>
    <row r="1350" customFormat="false" ht="15.75" hidden="false" customHeight="false" outlineLevel="0" collapsed="false">
      <c r="A1350" s="4"/>
    </row>
    <row r="1351" customFormat="false" ht="15.75" hidden="false" customHeight="false" outlineLevel="0" collapsed="false">
      <c r="A1351" s="4"/>
    </row>
    <row r="1352" customFormat="false" ht="15.75" hidden="false" customHeight="false" outlineLevel="0" collapsed="false">
      <c r="A1352" s="4"/>
    </row>
    <row r="1353" customFormat="false" ht="15.75" hidden="false" customHeight="false" outlineLevel="0" collapsed="false">
      <c r="A1353" s="4"/>
    </row>
    <row r="1354" customFormat="false" ht="15.75" hidden="false" customHeight="false" outlineLevel="0" collapsed="false">
      <c r="A1354" s="4"/>
    </row>
    <row r="1355" customFormat="false" ht="15.75" hidden="false" customHeight="false" outlineLevel="0" collapsed="false">
      <c r="A1355" s="4"/>
    </row>
    <row r="1356" customFormat="false" ht="15.75" hidden="false" customHeight="false" outlineLevel="0" collapsed="false">
      <c r="A1356" s="4"/>
    </row>
    <row r="1357" customFormat="false" ht="15.75" hidden="false" customHeight="false" outlineLevel="0" collapsed="false">
      <c r="A1357" s="4"/>
    </row>
    <row r="1358" customFormat="false" ht="15.75" hidden="false" customHeight="false" outlineLevel="0" collapsed="false">
      <c r="A1358" s="4"/>
    </row>
    <row r="1359" customFormat="false" ht="15.75" hidden="false" customHeight="false" outlineLevel="0" collapsed="false">
      <c r="A1359" s="4"/>
    </row>
    <row r="1360" customFormat="false" ht="15.75" hidden="false" customHeight="false" outlineLevel="0" collapsed="false">
      <c r="A1360" s="4"/>
    </row>
    <row r="1361" customFormat="false" ht="15.75" hidden="false" customHeight="false" outlineLevel="0" collapsed="false">
      <c r="A1361" s="4"/>
    </row>
    <row r="1362" customFormat="false" ht="15.75" hidden="false" customHeight="false" outlineLevel="0" collapsed="false">
      <c r="A1362" s="4"/>
    </row>
    <row r="1363" customFormat="false" ht="15.75" hidden="false" customHeight="false" outlineLevel="0" collapsed="false">
      <c r="A1363" s="4"/>
    </row>
    <row r="1364" customFormat="false" ht="15.75" hidden="false" customHeight="false" outlineLevel="0" collapsed="false">
      <c r="A1364" s="4"/>
    </row>
    <row r="1367" customFormat="false" ht="15.75" hidden="false" customHeight="false" outlineLevel="0" collapsed="false">
      <c r="B1367" s="3"/>
      <c r="C1367" s="3"/>
    </row>
    <row r="1368" customFormat="false" ht="15.75" hidden="false" customHeight="false" outlineLevel="0" collapsed="false">
      <c r="B1368" s="3"/>
      <c r="C1368" s="3"/>
    </row>
    <row r="1369" customFormat="false" ht="15.75" hidden="false" customHeight="false" outlineLevel="0" collapsed="false">
      <c r="B1369" s="3"/>
      <c r="C1369" s="3"/>
    </row>
    <row r="1370" customFormat="false" ht="15.75" hidden="false" customHeight="false" outlineLevel="0" collapsed="false">
      <c r="B1370" s="3"/>
      <c r="C1370" s="3"/>
    </row>
    <row r="1371" customFormat="false" ht="15.75" hidden="false" customHeight="false" outlineLevel="0" collapsed="false">
      <c r="B1371" s="3"/>
      <c r="C1371" s="3"/>
    </row>
    <row r="1372" customFormat="false" ht="15.75" hidden="false" customHeight="false" outlineLevel="0" collapsed="false">
      <c r="B1372" s="3"/>
      <c r="C1372" s="3"/>
    </row>
    <row r="1373" customFormat="false" ht="15.75" hidden="false" customHeight="false" outlineLevel="0" collapsed="false">
      <c r="B1373" s="3"/>
      <c r="C1373" s="3"/>
    </row>
    <row r="1374" customFormat="false" ht="15.75" hidden="false" customHeight="false" outlineLevel="0" collapsed="false">
      <c r="B1374" s="3"/>
      <c r="C1374" s="3"/>
    </row>
    <row r="1375" customFormat="false" ht="15.75" hidden="false" customHeight="false" outlineLevel="0" collapsed="false">
      <c r="B1375" s="3"/>
      <c r="C1375" s="3"/>
    </row>
    <row r="1376" customFormat="false" ht="15.75" hidden="false" customHeight="false" outlineLevel="0" collapsed="false">
      <c r="B1376" s="3"/>
      <c r="C1376" s="3"/>
    </row>
    <row r="1377" customFormat="false" ht="15.75" hidden="false" customHeight="false" outlineLevel="0" collapsed="false">
      <c r="B1377" s="3"/>
      <c r="C1377" s="3"/>
    </row>
    <row r="1378" customFormat="false" ht="15.75" hidden="false" customHeight="false" outlineLevel="0" collapsed="false">
      <c r="B1378" s="3"/>
      <c r="C1378" s="3"/>
    </row>
    <row r="1379" customFormat="false" ht="15.75" hidden="false" customHeight="false" outlineLevel="0" collapsed="false">
      <c r="B1379" s="3"/>
      <c r="C1379" s="3"/>
    </row>
    <row r="1380" customFormat="false" ht="15.75" hidden="false" customHeight="false" outlineLevel="0" collapsed="false">
      <c r="B1380" s="3"/>
      <c r="C1380" s="3"/>
    </row>
    <row r="1381" customFormat="false" ht="15.75" hidden="false" customHeight="false" outlineLevel="0" collapsed="false">
      <c r="B1381" s="3"/>
      <c r="C1381" s="3"/>
    </row>
    <row r="1382" customFormat="false" ht="15.75" hidden="false" customHeight="false" outlineLevel="0" collapsed="false">
      <c r="B1382" s="3"/>
      <c r="C1382" s="3"/>
    </row>
    <row r="1383" customFormat="false" ht="15.75" hidden="false" customHeight="false" outlineLevel="0" collapsed="false">
      <c r="B1383" s="3"/>
      <c r="C1383" s="3"/>
    </row>
    <row r="1384" customFormat="false" ht="15.75" hidden="false" customHeight="false" outlineLevel="0" collapsed="false">
      <c r="B1384" s="3"/>
      <c r="C1384" s="3"/>
    </row>
    <row r="1385" customFormat="false" ht="15.75" hidden="false" customHeight="false" outlineLevel="0" collapsed="false">
      <c r="B1385" s="3"/>
      <c r="C1385" s="3"/>
    </row>
    <row r="1386" customFormat="false" ht="15.75" hidden="false" customHeight="false" outlineLevel="0" collapsed="false">
      <c r="B1386" s="3"/>
      <c r="C1386" s="3"/>
    </row>
    <row r="1387" customFormat="false" ht="15.75" hidden="false" customHeight="false" outlineLevel="0" collapsed="false">
      <c r="B1387" s="3"/>
      <c r="C1387" s="3"/>
    </row>
    <row r="1388" customFormat="false" ht="15.75" hidden="false" customHeight="false" outlineLevel="0" collapsed="false">
      <c r="B1388" s="3"/>
      <c r="C1388" s="3"/>
    </row>
    <row r="1389" customFormat="false" ht="15.75" hidden="false" customHeight="false" outlineLevel="0" collapsed="false">
      <c r="B1389" s="3"/>
      <c r="C1389" s="3"/>
    </row>
    <row r="1390" customFormat="false" ht="15.75" hidden="false" customHeight="false" outlineLevel="0" collapsed="false">
      <c r="B1390" s="3"/>
      <c r="C1390" s="3"/>
    </row>
    <row r="1391" customFormat="false" ht="15.75" hidden="false" customHeight="false" outlineLevel="0" collapsed="false">
      <c r="B1391" s="3"/>
      <c r="C1391" s="3"/>
    </row>
    <row r="1392" customFormat="false" ht="15.75" hidden="false" customHeight="false" outlineLevel="0" collapsed="false">
      <c r="B1392" s="3"/>
      <c r="C1392" s="3"/>
    </row>
    <row r="1393" customFormat="false" ht="15.75" hidden="false" customHeight="false" outlineLevel="0" collapsed="false">
      <c r="B1393" s="3"/>
      <c r="C1393" s="3"/>
    </row>
    <row r="1394" customFormat="false" ht="15.75" hidden="false" customHeight="false" outlineLevel="0" collapsed="false">
      <c r="B1394" s="3"/>
      <c r="C1394" s="3"/>
    </row>
    <row r="1395" customFormat="false" ht="15.75" hidden="false" customHeight="false" outlineLevel="0" collapsed="false">
      <c r="B1395" s="3"/>
      <c r="C1395" s="3"/>
    </row>
    <row r="1396" customFormat="false" ht="15.75" hidden="false" customHeight="false" outlineLevel="0" collapsed="false">
      <c r="B1396" s="3"/>
      <c r="C1396" s="3"/>
    </row>
    <row r="1397" customFormat="false" ht="15.75" hidden="false" customHeight="false" outlineLevel="0" collapsed="false">
      <c r="B1397" s="3"/>
      <c r="C1397" s="3"/>
    </row>
    <row r="1398" customFormat="false" ht="15.75" hidden="false" customHeight="false" outlineLevel="0" collapsed="false">
      <c r="B1398" s="3"/>
      <c r="C1398" s="3"/>
    </row>
    <row r="1399" customFormat="false" ht="15.75" hidden="false" customHeight="false" outlineLevel="0" collapsed="false">
      <c r="B1399" s="3"/>
      <c r="C1399" s="3"/>
    </row>
    <row r="1400" customFormat="false" ht="15.75" hidden="false" customHeight="false" outlineLevel="0" collapsed="false">
      <c r="B1400" s="3"/>
      <c r="C1400" s="3"/>
    </row>
    <row r="1401" customFormat="false" ht="15.75" hidden="false" customHeight="false" outlineLevel="0" collapsed="false">
      <c r="B1401" s="3"/>
      <c r="C1401" s="3"/>
    </row>
    <row r="1402" customFormat="false" ht="15.75" hidden="false" customHeight="false" outlineLevel="0" collapsed="false">
      <c r="B1402" s="3"/>
      <c r="C1402" s="3"/>
    </row>
    <row r="1403" customFormat="false" ht="15.75" hidden="false" customHeight="false" outlineLevel="0" collapsed="false">
      <c r="B1403" s="3"/>
      <c r="C1403" s="3"/>
    </row>
    <row r="1404" customFormat="false" ht="15.75" hidden="false" customHeight="false" outlineLevel="0" collapsed="false">
      <c r="B1404" s="3"/>
      <c r="C1404" s="3"/>
    </row>
    <row r="1405" customFormat="false" ht="15.75" hidden="false" customHeight="false" outlineLevel="0" collapsed="false">
      <c r="B1405" s="3"/>
      <c r="C1405" s="3"/>
    </row>
    <row r="1406" customFormat="false" ht="15.75" hidden="false" customHeight="false" outlineLevel="0" collapsed="false">
      <c r="B1406" s="3"/>
      <c r="C1406" s="3"/>
    </row>
    <row r="1407" customFormat="false" ht="15.75" hidden="false" customHeight="false" outlineLevel="0" collapsed="false">
      <c r="B1407" s="3"/>
      <c r="C1407" s="3"/>
    </row>
    <row r="1408" customFormat="false" ht="15.75" hidden="false" customHeight="false" outlineLevel="0" collapsed="false">
      <c r="B1408" s="3"/>
      <c r="C1408" s="3"/>
    </row>
    <row r="1409" customFormat="false" ht="15.75" hidden="false" customHeight="false" outlineLevel="0" collapsed="false">
      <c r="B1409" s="3"/>
      <c r="C1409" s="3"/>
    </row>
    <row r="1410" customFormat="false" ht="15.75" hidden="false" customHeight="false" outlineLevel="0" collapsed="false">
      <c r="B1410" s="3"/>
      <c r="C1410" s="3"/>
    </row>
    <row r="1411" customFormat="false" ht="15.75" hidden="false" customHeight="false" outlineLevel="0" collapsed="false">
      <c r="B1411" s="3"/>
      <c r="C1411" s="3"/>
    </row>
    <row r="1412" customFormat="false" ht="15.75" hidden="false" customHeight="false" outlineLevel="0" collapsed="false">
      <c r="B1412" s="3"/>
      <c r="C1412" s="3"/>
    </row>
    <row r="1413" customFormat="false" ht="15.75" hidden="false" customHeight="false" outlineLevel="0" collapsed="false">
      <c r="B1413" s="3"/>
      <c r="C1413" s="3"/>
    </row>
    <row r="1414" customFormat="false" ht="15.75" hidden="false" customHeight="false" outlineLevel="0" collapsed="false">
      <c r="B1414" s="3"/>
      <c r="C1414" s="3"/>
    </row>
    <row r="1415" customFormat="false" ht="15.75" hidden="false" customHeight="false" outlineLevel="0" collapsed="false">
      <c r="B1415" s="3"/>
      <c r="C1415" s="3"/>
    </row>
    <row r="1416" customFormat="false" ht="15.75" hidden="false" customHeight="false" outlineLevel="0" collapsed="false">
      <c r="B1416" s="3"/>
      <c r="C1416" s="3"/>
    </row>
    <row r="1417" customFormat="false" ht="15.75" hidden="false" customHeight="false" outlineLevel="0" collapsed="false">
      <c r="B1417" s="3"/>
      <c r="C1417" s="3"/>
    </row>
    <row r="1418" customFormat="false" ht="15.75" hidden="false" customHeight="false" outlineLevel="0" collapsed="false">
      <c r="B1418" s="3"/>
      <c r="C1418" s="3"/>
    </row>
    <row r="1419" customFormat="false" ht="15.75" hidden="false" customHeight="false" outlineLevel="0" collapsed="false">
      <c r="B1419" s="3"/>
      <c r="C1419" s="3"/>
    </row>
    <row r="1420" customFormat="false" ht="15.75" hidden="false" customHeight="false" outlineLevel="0" collapsed="false">
      <c r="B1420" s="3"/>
      <c r="C1420" s="3"/>
    </row>
    <row r="1421" customFormat="false" ht="15.75" hidden="false" customHeight="false" outlineLevel="0" collapsed="false">
      <c r="B1421" s="3"/>
      <c r="C1421" s="3"/>
    </row>
    <row r="1422" customFormat="false" ht="15.75" hidden="false" customHeight="false" outlineLevel="0" collapsed="false">
      <c r="B1422" s="3"/>
      <c r="C1422" s="3"/>
    </row>
    <row r="1423" customFormat="false" ht="15.75" hidden="false" customHeight="false" outlineLevel="0" collapsed="false">
      <c r="B1423" s="3"/>
      <c r="C1423" s="3"/>
    </row>
    <row r="1424" customFormat="false" ht="15.75" hidden="false" customHeight="false" outlineLevel="0" collapsed="false">
      <c r="B1424" s="3"/>
      <c r="C1424" s="3"/>
    </row>
    <row r="1425" customFormat="false" ht="15.75" hidden="false" customHeight="false" outlineLevel="0" collapsed="false">
      <c r="B1425" s="3"/>
      <c r="C1425" s="3"/>
    </row>
    <row r="1426" customFormat="false" ht="15.75" hidden="false" customHeight="false" outlineLevel="0" collapsed="false">
      <c r="B1426" s="3"/>
      <c r="C1426" s="3"/>
    </row>
    <row r="1427" customFormat="false" ht="15.75" hidden="false" customHeight="false" outlineLevel="0" collapsed="false">
      <c r="B1427" s="3"/>
      <c r="C1427" s="3"/>
    </row>
    <row r="1428" customFormat="false" ht="15.75" hidden="false" customHeight="false" outlineLevel="0" collapsed="false">
      <c r="B1428" s="3"/>
      <c r="C1428" s="3"/>
    </row>
    <row r="1429" customFormat="false" ht="15.75" hidden="false" customHeight="false" outlineLevel="0" collapsed="false">
      <c r="B1429" s="3"/>
      <c r="C1429" s="3"/>
    </row>
    <row r="1430" customFormat="false" ht="15.75" hidden="false" customHeight="false" outlineLevel="0" collapsed="false">
      <c r="B1430" s="3"/>
      <c r="C1430" s="3"/>
    </row>
    <row r="1431" customFormat="false" ht="15.75" hidden="false" customHeight="false" outlineLevel="0" collapsed="false">
      <c r="B1431" s="3"/>
      <c r="C1431" s="3"/>
    </row>
    <row r="1432" customFormat="false" ht="15.75" hidden="false" customHeight="false" outlineLevel="0" collapsed="false">
      <c r="B1432" s="3"/>
      <c r="C1432" s="3"/>
    </row>
    <row r="1433" customFormat="false" ht="15.75" hidden="false" customHeight="false" outlineLevel="0" collapsed="false">
      <c r="B1433" s="3"/>
      <c r="C1433" s="3"/>
    </row>
    <row r="1434" customFormat="false" ht="15.75" hidden="false" customHeight="false" outlineLevel="0" collapsed="false">
      <c r="B1434" s="3"/>
      <c r="C1434" s="3"/>
    </row>
    <row r="1435" customFormat="false" ht="15.75" hidden="false" customHeight="false" outlineLevel="0" collapsed="false">
      <c r="B1435" s="3"/>
      <c r="C1435" s="3"/>
    </row>
    <row r="1436" customFormat="false" ht="15.75" hidden="false" customHeight="false" outlineLevel="0" collapsed="false">
      <c r="B1436" s="3"/>
      <c r="C1436" s="3"/>
    </row>
    <row r="1437" customFormat="false" ht="15.75" hidden="false" customHeight="false" outlineLevel="0" collapsed="false">
      <c r="B1437" s="3"/>
      <c r="C1437" s="3"/>
    </row>
    <row r="1438" customFormat="false" ht="15.75" hidden="false" customHeight="false" outlineLevel="0" collapsed="false">
      <c r="B1438" s="3"/>
      <c r="C1438" s="3"/>
    </row>
    <row r="1439" customFormat="false" ht="15.75" hidden="false" customHeight="false" outlineLevel="0" collapsed="false">
      <c r="B1439" s="3"/>
      <c r="C1439" s="3"/>
    </row>
    <row r="1440" customFormat="false" ht="15.75" hidden="false" customHeight="false" outlineLevel="0" collapsed="false">
      <c r="B1440" s="3"/>
      <c r="C1440" s="3"/>
    </row>
    <row r="1441" customFormat="false" ht="15.75" hidden="false" customHeight="false" outlineLevel="0" collapsed="false">
      <c r="B1441" s="3"/>
      <c r="C1441" s="3"/>
    </row>
    <row r="1442" customFormat="false" ht="15.75" hidden="false" customHeight="false" outlineLevel="0" collapsed="false">
      <c r="B1442" s="3"/>
      <c r="C1442" s="3"/>
    </row>
    <row r="1443" customFormat="false" ht="15.75" hidden="false" customHeight="false" outlineLevel="0" collapsed="false">
      <c r="B1443" s="3"/>
      <c r="C1443" s="3"/>
    </row>
    <row r="1444" customFormat="false" ht="15.75" hidden="false" customHeight="false" outlineLevel="0" collapsed="false">
      <c r="B1444" s="3"/>
      <c r="C1444" s="3"/>
    </row>
    <row r="1445" customFormat="false" ht="15.75" hidden="false" customHeight="false" outlineLevel="0" collapsed="false">
      <c r="B1445" s="3"/>
      <c r="C1445" s="3"/>
    </row>
    <row r="1446" customFormat="false" ht="15.75" hidden="false" customHeight="false" outlineLevel="0" collapsed="false">
      <c r="B1446" s="3"/>
      <c r="C1446" s="3"/>
    </row>
    <row r="1447" customFormat="false" ht="15.75" hidden="false" customHeight="false" outlineLevel="0" collapsed="false">
      <c r="B1447" s="3"/>
      <c r="C1447" s="3"/>
    </row>
    <row r="1448" customFormat="false" ht="15.75" hidden="false" customHeight="false" outlineLevel="0" collapsed="false">
      <c r="B1448" s="3"/>
      <c r="C1448" s="3"/>
    </row>
    <row r="1449" customFormat="false" ht="15.75" hidden="false" customHeight="false" outlineLevel="0" collapsed="false">
      <c r="B1449" s="3"/>
      <c r="C1449" s="3"/>
    </row>
    <row r="1450" customFormat="false" ht="15.75" hidden="false" customHeight="false" outlineLevel="0" collapsed="false">
      <c r="B1450" s="3"/>
      <c r="C1450" s="3"/>
    </row>
    <row r="1451" customFormat="false" ht="15.75" hidden="false" customHeight="false" outlineLevel="0" collapsed="false">
      <c r="B1451" s="3"/>
      <c r="C1451" s="3"/>
    </row>
    <row r="1452" customFormat="false" ht="15.75" hidden="false" customHeight="false" outlineLevel="0" collapsed="false">
      <c r="B1452" s="3"/>
      <c r="C1452" s="3"/>
    </row>
    <row r="1453" customFormat="false" ht="15.75" hidden="false" customHeight="false" outlineLevel="0" collapsed="false">
      <c r="B1453" s="3"/>
      <c r="C1453" s="3"/>
    </row>
    <row r="1454" customFormat="false" ht="15.75" hidden="false" customHeight="false" outlineLevel="0" collapsed="false">
      <c r="B1454" s="3"/>
      <c r="C1454" s="3"/>
    </row>
    <row r="1455" customFormat="false" ht="15.75" hidden="false" customHeight="false" outlineLevel="0" collapsed="false">
      <c r="B1455" s="3"/>
      <c r="C1455" s="3"/>
    </row>
    <row r="1456" customFormat="false" ht="15.75" hidden="false" customHeight="false" outlineLevel="0" collapsed="false">
      <c r="B1456" s="3"/>
      <c r="C1456" s="3"/>
    </row>
    <row r="1457" customFormat="false" ht="15.75" hidden="false" customHeight="false" outlineLevel="0" collapsed="false">
      <c r="B1457" s="3"/>
      <c r="C1457" s="3"/>
    </row>
    <row r="1458" customFormat="false" ht="15.75" hidden="false" customHeight="false" outlineLevel="0" collapsed="false">
      <c r="B1458" s="3"/>
      <c r="C1458" s="3"/>
    </row>
    <row r="1459" customFormat="false" ht="15.75" hidden="false" customHeight="false" outlineLevel="0" collapsed="false">
      <c r="B1459" s="3"/>
      <c r="C1459" s="3"/>
    </row>
    <row r="1460" customFormat="false" ht="15.75" hidden="false" customHeight="false" outlineLevel="0" collapsed="false">
      <c r="B1460" s="3"/>
      <c r="C1460" s="3"/>
    </row>
    <row r="1461" customFormat="false" ht="15.75" hidden="false" customHeight="false" outlineLevel="0" collapsed="false">
      <c r="B1461" s="3"/>
      <c r="C1461" s="3"/>
    </row>
    <row r="1462" customFormat="false" ht="15.75" hidden="false" customHeight="false" outlineLevel="0" collapsed="false">
      <c r="B1462" s="3"/>
      <c r="C1462" s="3"/>
    </row>
    <row r="1463" customFormat="false" ht="15.75" hidden="false" customHeight="false" outlineLevel="0" collapsed="false">
      <c r="B1463" s="3"/>
      <c r="C1463" s="3"/>
    </row>
    <row r="1464" customFormat="false" ht="15.75" hidden="false" customHeight="false" outlineLevel="0" collapsed="false">
      <c r="B1464" s="3"/>
      <c r="C1464" s="3"/>
    </row>
    <row r="1465" customFormat="false" ht="15.75" hidden="false" customHeight="false" outlineLevel="0" collapsed="false">
      <c r="B1465" s="3"/>
      <c r="C1465" s="3"/>
    </row>
    <row r="1466" customFormat="false" ht="15.75" hidden="false" customHeight="false" outlineLevel="0" collapsed="false">
      <c r="B1466" s="3"/>
      <c r="C1466" s="3"/>
    </row>
    <row r="1467" customFormat="false" ht="15.75" hidden="false" customHeight="false" outlineLevel="0" collapsed="false">
      <c r="B1467" s="3"/>
      <c r="C1467" s="3"/>
    </row>
    <row r="1468" customFormat="false" ht="15.75" hidden="false" customHeight="false" outlineLevel="0" collapsed="false">
      <c r="B1468" s="3"/>
      <c r="C1468" s="3"/>
    </row>
    <row r="1469" customFormat="false" ht="15.75" hidden="false" customHeight="false" outlineLevel="0" collapsed="false">
      <c r="B1469" s="3"/>
      <c r="C1469" s="3"/>
    </row>
    <row r="1470" customFormat="false" ht="15.75" hidden="false" customHeight="false" outlineLevel="0" collapsed="false">
      <c r="B1470" s="3"/>
      <c r="C1470" s="3"/>
    </row>
    <row r="1471" customFormat="false" ht="15.75" hidden="false" customHeight="false" outlineLevel="0" collapsed="false">
      <c r="B1471" s="3"/>
      <c r="C1471" s="3"/>
    </row>
    <row r="1472" customFormat="false" ht="15.75" hidden="false" customHeight="false" outlineLevel="0" collapsed="false">
      <c r="B1472" s="3"/>
      <c r="C1472" s="3"/>
    </row>
    <row r="1473" customFormat="false" ht="15.75" hidden="false" customHeight="false" outlineLevel="0" collapsed="false">
      <c r="B1473" s="3"/>
      <c r="C1473" s="3"/>
    </row>
    <row r="1474" customFormat="false" ht="15.75" hidden="false" customHeight="false" outlineLevel="0" collapsed="false">
      <c r="B1474" s="3"/>
      <c r="C1474" s="3"/>
    </row>
    <row r="1475" customFormat="false" ht="15.75" hidden="false" customHeight="false" outlineLevel="0" collapsed="false">
      <c r="B1475" s="3"/>
      <c r="C1475" s="3"/>
    </row>
    <row r="1476" customFormat="false" ht="15.75" hidden="false" customHeight="false" outlineLevel="0" collapsed="false">
      <c r="B1476" s="3"/>
      <c r="C1476" s="3"/>
    </row>
    <row r="1477" customFormat="false" ht="15.75" hidden="false" customHeight="false" outlineLevel="0" collapsed="false">
      <c r="B1477" s="3"/>
      <c r="C1477" s="3"/>
    </row>
    <row r="1478" customFormat="false" ht="15.75" hidden="false" customHeight="false" outlineLevel="0" collapsed="false">
      <c r="B1478" s="3"/>
      <c r="C1478" s="3"/>
    </row>
    <row r="1479" customFormat="false" ht="15.75" hidden="false" customHeight="false" outlineLevel="0" collapsed="false">
      <c r="B1479" s="3"/>
      <c r="C1479" s="3"/>
    </row>
    <row r="1480" customFormat="false" ht="15.75" hidden="false" customHeight="false" outlineLevel="0" collapsed="false">
      <c r="B1480" s="3"/>
      <c r="C1480" s="3"/>
    </row>
    <row r="1481" customFormat="false" ht="15.75" hidden="false" customHeight="false" outlineLevel="0" collapsed="false">
      <c r="B1481" s="3"/>
      <c r="C1481" s="3"/>
    </row>
    <row r="1482" customFormat="false" ht="15.75" hidden="false" customHeight="false" outlineLevel="0" collapsed="false">
      <c r="B1482" s="3"/>
      <c r="C1482" s="3"/>
    </row>
    <row r="1483" customFormat="false" ht="15.75" hidden="false" customHeight="false" outlineLevel="0" collapsed="false">
      <c r="B1483" s="3"/>
      <c r="C1483" s="3"/>
    </row>
    <row r="1484" customFormat="false" ht="15.75" hidden="false" customHeight="false" outlineLevel="0" collapsed="false">
      <c r="B1484" s="3"/>
      <c r="C1484" s="3"/>
    </row>
    <row r="1485" customFormat="false" ht="15.75" hidden="false" customHeight="false" outlineLevel="0" collapsed="false">
      <c r="B1485" s="3"/>
      <c r="C1485" s="3"/>
    </row>
    <row r="1486" customFormat="false" ht="15.75" hidden="false" customHeight="false" outlineLevel="0" collapsed="false">
      <c r="B1486" s="3"/>
      <c r="C1486" s="3"/>
    </row>
    <row r="1487" customFormat="false" ht="15.75" hidden="false" customHeight="false" outlineLevel="0" collapsed="false">
      <c r="B1487" s="3"/>
      <c r="C1487" s="3"/>
    </row>
    <row r="1488" customFormat="false" ht="15.75" hidden="false" customHeight="false" outlineLevel="0" collapsed="false">
      <c r="B1488" s="3"/>
      <c r="C1488" s="3"/>
    </row>
    <row r="1489" customFormat="false" ht="15.75" hidden="false" customHeight="false" outlineLevel="0" collapsed="false">
      <c r="B1489" s="3"/>
      <c r="C1489" s="3"/>
    </row>
    <row r="1490" customFormat="false" ht="15.75" hidden="false" customHeight="false" outlineLevel="0" collapsed="false">
      <c r="B1490" s="3"/>
      <c r="C1490" s="3"/>
    </row>
    <row r="1491" customFormat="false" ht="15.75" hidden="false" customHeight="false" outlineLevel="0" collapsed="false">
      <c r="B1491" s="3"/>
      <c r="C1491" s="3"/>
    </row>
    <row r="1492" customFormat="false" ht="15.75" hidden="false" customHeight="false" outlineLevel="0" collapsed="false">
      <c r="B1492" s="3"/>
      <c r="C1492" s="3"/>
    </row>
    <row r="1493" customFormat="false" ht="15.75" hidden="false" customHeight="false" outlineLevel="0" collapsed="false">
      <c r="B1493" s="3"/>
      <c r="C1493" s="3"/>
    </row>
    <row r="1494" customFormat="false" ht="15.75" hidden="false" customHeight="false" outlineLevel="0" collapsed="false">
      <c r="B1494" s="3"/>
      <c r="C1494" s="3"/>
    </row>
    <row r="1495" customFormat="false" ht="15.75" hidden="false" customHeight="false" outlineLevel="0" collapsed="false">
      <c r="B1495" s="3"/>
      <c r="C1495" s="3"/>
    </row>
    <row r="1496" customFormat="false" ht="15.75" hidden="false" customHeight="false" outlineLevel="0" collapsed="false">
      <c r="B1496" s="3"/>
      <c r="C1496" s="3"/>
    </row>
    <row r="1497" customFormat="false" ht="15.75" hidden="false" customHeight="false" outlineLevel="0" collapsed="false">
      <c r="B1497" s="3"/>
      <c r="C1497" s="3"/>
    </row>
    <row r="1498" customFormat="false" ht="15.75" hidden="false" customHeight="false" outlineLevel="0" collapsed="false">
      <c r="B1498" s="3"/>
      <c r="C1498" s="3"/>
    </row>
    <row r="1499" customFormat="false" ht="15.75" hidden="false" customHeight="false" outlineLevel="0" collapsed="false">
      <c r="B1499" s="3"/>
      <c r="C1499" s="3"/>
    </row>
    <row r="1500" customFormat="false" ht="15.75" hidden="false" customHeight="false" outlineLevel="0" collapsed="false">
      <c r="B1500" s="3"/>
      <c r="C1500" s="3"/>
    </row>
    <row r="1501" customFormat="false" ht="15.75" hidden="false" customHeight="false" outlineLevel="0" collapsed="false">
      <c r="B1501" s="3"/>
      <c r="C1501" s="3"/>
    </row>
    <row r="1502" customFormat="false" ht="15.75" hidden="false" customHeight="false" outlineLevel="0" collapsed="false">
      <c r="B1502" s="3"/>
      <c r="C1502" s="3"/>
    </row>
    <row r="1503" customFormat="false" ht="15.75" hidden="false" customHeight="false" outlineLevel="0" collapsed="false">
      <c r="B1503" s="3"/>
      <c r="C1503" s="3"/>
    </row>
    <row r="1504" customFormat="false" ht="15.75" hidden="false" customHeight="false" outlineLevel="0" collapsed="false">
      <c r="B1504" s="3"/>
      <c r="C1504" s="3"/>
    </row>
    <row r="1505" customFormat="false" ht="15.75" hidden="false" customHeight="false" outlineLevel="0" collapsed="false">
      <c r="B1505" s="3"/>
      <c r="C1505" s="3"/>
    </row>
    <row r="1506" customFormat="false" ht="15.75" hidden="false" customHeight="false" outlineLevel="0" collapsed="false">
      <c r="B1506" s="3"/>
      <c r="C1506" s="3"/>
    </row>
    <row r="1507" customFormat="false" ht="15.75" hidden="false" customHeight="false" outlineLevel="0" collapsed="false">
      <c r="B1507" s="3"/>
      <c r="C1507" s="3"/>
    </row>
    <row r="1508" customFormat="false" ht="15.75" hidden="false" customHeight="false" outlineLevel="0" collapsed="false">
      <c r="B1508" s="3"/>
      <c r="C1508" s="3"/>
    </row>
    <row r="1509" customFormat="false" ht="15.75" hidden="false" customHeight="false" outlineLevel="0" collapsed="false">
      <c r="B1509" s="3"/>
      <c r="C1509" s="3"/>
    </row>
    <row r="1510" customFormat="false" ht="15.75" hidden="false" customHeight="false" outlineLevel="0" collapsed="false">
      <c r="B1510" s="3"/>
      <c r="C1510" s="3"/>
    </row>
    <row r="1511" customFormat="false" ht="15.75" hidden="false" customHeight="false" outlineLevel="0" collapsed="false">
      <c r="B1511" s="3"/>
      <c r="C1511" s="3"/>
    </row>
    <row r="1512" customFormat="false" ht="15.75" hidden="false" customHeight="false" outlineLevel="0" collapsed="false">
      <c r="B1512" s="3"/>
      <c r="C1512" s="3"/>
    </row>
    <row r="1513" customFormat="false" ht="15.75" hidden="false" customHeight="false" outlineLevel="0" collapsed="false">
      <c r="B1513" s="3"/>
      <c r="C1513" s="3"/>
    </row>
    <row r="1514" customFormat="false" ht="15.75" hidden="false" customHeight="false" outlineLevel="0" collapsed="false">
      <c r="B1514" s="3"/>
      <c r="C1514" s="3"/>
    </row>
    <row r="1515" customFormat="false" ht="15.75" hidden="false" customHeight="false" outlineLevel="0" collapsed="false">
      <c r="B1515" s="3"/>
      <c r="C1515" s="3"/>
    </row>
    <row r="1516" customFormat="false" ht="15.75" hidden="false" customHeight="false" outlineLevel="0" collapsed="false">
      <c r="B1516" s="3"/>
      <c r="C1516" s="3"/>
    </row>
    <row r="1517" customFormat="false" ht="15.75" hidden="false" customHeight="false" outlineLevel="0" collapsed="false">
      <c r="B1517" s="3"/>
      <c r="C1517" s="3"/>
    </row>
    <row r="1518" customFormat="false" ht="15.75" hidden="false" customHeight="false" outlineLevel="0" collapsed="false">
      <c r="B1518" s="3"/>
      <c r="C1518" s="3"/>
    </row>
    <row r="1519" customFormat="false" ht="15.75" hidden="false" customHeight="false" outlineLevel="0" collapsed="false">
      <c r="B1519" s="3"/>
      <c r="C1519" s="3"/>
    </row>
    <row r="1520" customFormat="false" ht="15.75" hidden="false" customHeight="false" outlineLevel="0" collapsed="false">
      <c r="B1520" s="3"/>
      <c r="C1520" s="3"/>
    </row>
    <row r="1521" customFormat="false" ht="15.75" hidden="false" customHeight="false" outlineLevel="0" collapsed="false">
      <c r="B1521" s="3"/>
      <c r="C1521" s="3"/>
    </row>
    <row r="1522" customFormat="false" ht="15.75" hidden="false" customHeight="false" outlineLevel="0" collapsed="false">
      <c r="B1522" s="3"/>
      <c r="C1522" s="3"/>
    </row>
    <row r="1523" customFormat="false" ht="15.75" hidden="false" customHeight="false" outlineLevel="0" collapsed="false">
      <c r="B1523" s="3"/>
      <c r="C1523" s="3"/>
    </row>
    <row r="1524" customFormat="false" ht="15.75" hidden="false" customHeight="false" outlineLevel="0" collapsed="false">
      <c r="B1524" s="3"/>
      <c r="C1524" s="3"/>
    </row>
    <row r="1525" customFormat="false" ht="15.75" hidden="false" customHeight="false" outlineLevel="0" collapsed="false">
      <c r="B1525" s="3"/>
      <c r="C1525" s="3"/>
    </row>
    <row r="1526" customFormat="false" ht="15.75" hidden="false" customHeight="false" outlineLevel="0" collapsed="false">
      <c r="B1526" s="3"/>
      <c r="C1526" s="3"/>
    </row>
    <row r="1527" customFormat="false" ht="15.75" hidden="false" customHeight="false" outlineLevel="0" collapsed="false">
      <c r="B1527" s="3"/>
      <c r="C1527" s="3"/>
    </row>
    <row r="1528" customFormat="false" ht="15.75" hidden="false" customHeight="false" outlineLevel="0" collapsed="false">
      <c r="B1528" s="3"/>
      <c r="C1528" s="3"/>
    </row>
    <row r="1529" customFormat="false" ht="15.75" hidden="false" customHeight="false" outlineLevel="0" collapsed="false">
      <c r="B1529" s="3"/>
      <c r="C1529" s="3"/>
    </row>
    <row r="1530" customFormat="false" ht="15.75" hidden="false" customHeight="false" outlineLevel="0" collapsed="false">
      <c r="B1530" s="3"/>
      <c r="C1530" s="3"/>
    </row>
    <row r="1531" customFormat="false" ht="15.75" hidden="false" customHeight="false" outlineLevel="0" collapsed="false">
      <c r="B1531" s="3"/>
      <c r="C1531" s="3"/>
    </row>
    <row r="1532" customFormat="false" ht="15.75" hidden="false" customHeight="false" outlineLevel="0" collapsed="false">
      <c r="B1532" s="3"/>
      <c r="C1532" s="3"/>
    </row>
    <row r="1533" customFormat="false" ht="15.75" hidden="false" customHeight="false" outlineLevel="0" collapsed="false">
      <c r="B1533" s="3"/>
      <c r="C1533" s="3"/>
    </row>
    <row r="1534" customFormat="false" ht="15.75" hidden="false" customHeight="false" outlineLevel="0" collapsed="false">
      <c r="B1534" s="3"/>
      <c r="C1534" s="3"/>
    </row>
    <row r="1535" customFormat="false" ht="15.75" hidden="false" customHeight="false" outlineLevel="0" collapsed="false">
      <c r="B1535" s="3"/>
      <c r="C1535" s="3"/>
    </row>
    <row r="1536" customFormat="false" ht="15.75" hidden="false" customHeight="false" outlineLevel="0" collapsed="false">
      <c r="B1536" s="3"/>
      <c r="C1536" s="3"/>
    </row>
    <row r="1537" customFormat="false" ht="15.75" hidden="false" customHeight="false" outlineLevel="0" collapsed="false">
      <c r="B1537" s="3"/>
      <c r="C1537" s="3"/>
    </row>
    <row r="1538" customFormat="false" ht="15.75" hidden="false" customHeight="false" outlineLevel="0" collapsed="false">
      <c r="B1538" s="3"/>
      <c r="C1538" s="3"/>
    </row>
    <row r="1539" customFormat="false" ht="15.75" hidden="false" customHeight="false" outlineLevel="0" collapsed="false">
      <c r="B1539" s="3"/>
      <c r="C1539" s="3"/>
    </row>
    <row r="1540" customFormat="false" ht="15.75" hidden="false" customHeight="false" outlineLevel="0" collapsed="false">
      <c r="B1540" s="3"/>
      <c r="C1540" s="3"/>
    </row>
    <row r="1541" customFormat="false" ht="15.75" hidden="false" customHeight="false" outlineLevel="0" collapsed="false">
      <c r="B1541" s="3"/>
      <c r="C1541" s="3"/>
    </row>
    <row r="1542" customFormat="false" ht="15.75" hidden="false" customHeight="false" outlineLevel="0" collapsed="false">
      <c r="B1542" s="3"/>
      <c r="C1542" s="3"/>
    </row>
    <row r="1543" customFormat="false" ht="15.75" hidden="false" customHeight="false" outlineLevel="0" collapsed="false">
      <c r="B1543" s="3"/>
      <c r="C1543" s="3"/>
    </row>
    <row r="1544" customFormat="false" ht="15.75" hidden="false" customHeight="false" outlineLevel="0" collapsed="false">
      <c r="B1544" s="3"/>
      <c r="C1544" s="3"/>
    </row>
    <row r="1545" customFormat="false" ht="15.75" hidden="false" customHeight="false" outlineLevel="0" collapsed="false">
      <c r="B1545" s="3"/>
      <c r="C1545" s="3"/>
    </row>
    <row r="1546" customFormat="false" ht="15.75" hidden="false" customHeight="false" outlineLevel="0" collapsed="false">
      <c r="B1546" s="3"/>
      <c r="C1546" s="3"/>
    </row>
    <row r="1547" customFormat="false" ht="15.75" hidden="false" customHeight="false" outlineLevel="0" collapsed="false">
      <c r="B1547" s="3"/>
      <c r="C1547" s="3"/>
    </row>
    <row r="1548" customFormat="false" ht="15.75" hidden="false" customHeight="false" outlineLevel="0" collapsed="false">
      <c r="B1548" s="3"/>
      <c r="C1548" s="3"/>
    </row>
    <row r="1549" customFormat="false" ht="15.75" hidden="false" customHeight="false" outlineLevel="0" collapsed="false">
      <c r="B1549" s="3"/>
      <c r="C1549" s="3"/>
    </row>
    <row r="1550" customFormat="false" ht="15.75" hidden="false" customHeight="false" outlineLevel="0" collapsed="false">
      <c r="B1550" s="3"/>
      <c r="C1550" s="3"/>
    </row>
    <row r="1551" customFormat="false" ht="15.75" hidden="false" customHeight="false" outlineLevel="0" collapsed="false">
      <c r="B1551" s="3"/>
      <c r="C1551" s="3"/>
    </row>
    <row r="1552" customFormat="false" ht="15.75" hidden="false" customHeight="false" outlineLevel="0" collapsed="false">
      <c r="B1552" s="3"/>
      <c r="C1552" s="3"/>
    </row>
    <row r="1553" customFormat="false" ht="15.75" hidden="false" customHeight="false" outlineLevel="0" collapsed="false">
      <c r="B1553" s="3"/>
      <c r="C1553" s="3"/>
    </row>
    <row r="1554" customFormat="false" ht="15.75" hidden="false" customHeight="false" outlineLevel="0" collapsed="false">
      <c r="B1554" s="3"/>
      <c r="C1554" s="3"/>
    </row>
    <row r="1555" customFormat="false" ht="15.75" hidden="false" customHeight="false" outlineLevel="0" collapsed="false">
      <c r="B1555" s="3"/>
      <c r="C1555" s="3"/>
    </row>
  </sheetData>
  <conditionalFormatting sqref="A1261:A1262">
    <cfRule type="expression" priority="2" aboveAverage="0" equalAverage="0" bottom="0" percent="0" rank="0" text="" dxfId="2">
      <formula>COUNTIF(B1357:C1508,A1261)=0</formula>
    </cfRule>
  </conditionalFormatting>
  <conditionalFormatting sqref="A47:A57">
    <cfRule type="expression" priority="3" aboveAverage="0" equalAverage="0" bottom="0" percent="0" rank="0" text="" dxfId="2">
      <formula>COUNTIF(B225:C400,A47)=0</formula>
    </cfRule>
  </conditionalFormatting>
  <conditionalFormatting sqref="C1113">
    <cfRule type="expression" priority="4" aboveAverage="0" equalAverage="0" bottom="0" percent="0" rank="0" text="" dxfId="1">
      <formula>D1127="YES"</formula>
    </cfRule>
  </conditionalFormatting>
  <conditionalFormatting sqref="A2:A43 A63:A224 A233:A1364">
    <cfRule type="expression" priority="5" aboveAverage="0" equalAverage="0" bottom="0" percent="0" rank="0" text="" dxfId="2">
      <formula>COUNTIF(B2:C73,A2)=0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3.63"/>
    <col collapsed="false" customWidth="true" hidden="false" outlineLevel="0" max="2" min="2" style="0" width="7"/>
    <col collapsed="false" customWidth="true" hidden="false" outlineLevel="0" max="3" min="3" style="0" width="59.89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334</v>
      </c>
      <c r="B2" s="3" t="str">
        <f aca="false">IF(COUNTIF(Final_CB_I6_V5!$B$2:$B$834,A2)&gt;=1,"YES","NO")</f>
        <v>YES</v>
      </c>
      <c r="C2" s="3" t="s">
        <v>335</v>
      </c>
      <c r="D2" s="3" t="str">
        <f aca="false">IF(COUNTIF(Final_CB_I6_V5!$C$2:$C$834,C2)&gt;=1,"YES","NO")</f>
        <v>YES</v>
      </c>
      <c r="F2" s="4" t="str">
        <f aca="false">IFERROR(__xludf.dummyfunction("filter(A2:A700, MATCH(A2:A700, C2:C700, FALSE))"),"agreement::potential::bug")</f>
        <v>agreement::potential::bug</v>
      </c>
      <c r="G2" s="4" t="str">
        <f aca="false">IFERROR(__xludf.dummyfunction("filter(A2:A700,iserror(MATCH(A2:A700, C2:C700, FALSE)))"),"agreement::objection")</f>
        <v>agreement::objection</v>
      </c>
      <c r="H2" s="4" t="str">
        <f aca="false">IFERROR(__xludf.dummyfunction("filter(C2:C700,ISERROR(MATCH(C2:C700, A2:A700, FALSE)))"),"agreeing::opinion::(not::common)")</f>
        <v>agreeing::opinion::(not::common)</v>
      </c>
    </row>
    <row r="3" customFormat="false" ht="15.75" hidden="false" customHeight="false" outlineLevel="0" collapsed="false">
      <c r="A3" s="3" t="s">
        <v>336</v>
      </c>
      <c r="B3" s="3" t="str">
        <f aca="false">IF(COUNTIF(Final_CB_I6_V5!$B$2:$B$834,A3)&gt;=1,"YES","NO")</f>
        <v>YES</v>
      </c>
      <c r="C3" s="3" t="s">
        <v>337</v>
      </c>
      <c r="D3" s="3" t="str">
        <f aca="false">IF(COUNTIF(Final_CB_I6_V5!$C$2:$C$834,C3)&gt;=1,"YES","NO")</f>
        <v>YES</v>
      </c>
      <c r="F3" s="4" t="str">
        <f aca="false">IFERROR(__xludf.dummyfunction("""COMPUTED_VALUE"""),"approval::BP/feature")</f>
        <v>approval::BP/feature</v>
      </c>
      <c r="G3" s="4" t="str">
        <f aca="false">IFERROR(__xludf.dummyfunction("""COMPUTED_VALUE"""),"agreement::oppinion::(task::is::out::of::the::ordinary)")</f>
        <v>agreement::oppinion::(task::is::out::of::the::ordinary)</v>
      </c>
      <c r="H3" s="4" t="str">
        <f aca="false">IFERROR(__xludf.dummyfunction("""COMPUTED_VALUE"""),"asking::about::availability::feature")</f>
        <v>asking::about::availability::feature</v>
      </c>
    </row>
    <row r="4" customFormat="false" ht="15.75" hidden="false" customHeight="false" outlineLevel="0" collapsed="false">
      <c r="A4" s="3" t="s">
        <v>337</v>
      </c>
      <c r="B4" s="3" t="str">
        <f aca="false">IF(COUNTIF(Final_CB_I6_V5!$B$2:$B$834,A4)&gt;=1,"YES","NO")</f>
        <v>YES</v>
      </c>
      <c r="C4" s="3" t="s">
        <v>338</v>
      </c>
      <c r="D4" s="3" t="str">
        <f aca="false">IF(COUNTIF(Final_CB_I6_V5!$C$2:$C$834,C4)&gt;=1,"YES","NO")</f>
        <v>YES</v>
      </c>
      <c r="F4" s="4" t="str">
        <f aca="false">IFERROR(__xludf.dummyfunction("""COMPUTED_VALUE"""),"approved::freeze::exception::(FFE)")</f>
        <v>approved::freeze::exception::(FFE)</v>
      </c>
      <c r="G4" s="4" t="str">
        <f aca="false">IFERROR(__xludf.dummyfunction("""COMPUTED_VALUE"""),"agreement::potential::bug::not::a::bug")</f>
        <v>agreement::potential::bug::not::a::bug</v>
      </c>
      <c r="H4" s="4" t="str">
        <f aca="false">IFERROR(__xludf.dummyfunction("""COMPUTED_VALUE"""),"asking::clarification::about::Qualitty::attributes::(consistency)")</f>
        <v>asking::clarification::about::Qualitty::attributes::(consistency)</v>
      </c>
    </row>
    <row r="5" customFormat="false" ht="15.75" hidden="false" customHeight="false" outlineLevel="0" collapsed="false">
      <c r="A5" s="3" t="s">
        <v>339</v>
      </c>
      <c r="B5" s="3" t="str">
        <f aca="false">IF(COUNTIF(Final_CB_I6_V5!$B$2:$B$834,A5)&gt;=1,"YES","NO")</f>
        <v>YES</v>
      </c>
      <c r="C5" s="3" t="s">
        <v>340</v>
      </c>
      <c r="D5" s="3" t="str">
        <f aca="false">IF(COUNTIF(Final_CB_I6_V5!$C$2:$C$834,C5)&gt;=1,"YES","NO")</f>
        <v>YES</v>
      </c>
      <c r="F5" s="4" t="str">
        <f aca="false">IFERROR(__xludf.dummyfunction("""COMPUTED_VALUE"""),"asking::about::development::process::(schedule/time)")</f>
        <v>asking::about::development::process::(schedule/time)</v>
      </c>
      <c r="G5" s="4" t="str">
        <f aca="false">IFERROR(__xludf.dummyfunction("""COMPUTED_VALUE"""),"asking::for:.clarification::reason::of::the::bug")</f>
        <v>asking::for:.clarification::reason::of::the::bug</v>
      </c>
      <c r="H5" s="4" t="str">
        <f aca="false">IFERROR(__xludf.dummyfunction("""COMPUTED_VALUE"""),"asking::for::assistance::(fix)")</f>
        <v>asking::for::assistance::(fix)</v>
      </c>
    </row>
    <row r="6" customFormat="false" ht="15.75" hidden="false" customHeight="false" outlineLevel="0" collapsed="false">
      <c r="A6" s="3" t="s">
        <v>338</v>
      </c>
      <c r="B6" s="3" t="str">
        <f aca="false">IF(COUNTIF(Final_CB_I6_V5!$B$2:$B$834,A6)&gt;=1,"YES","NO")</f>
        <v>YES</v>
      </c>
      <c r="C6" s="3" t="s">
        <v>341</v>
      </c>
      <c r="D6" s="3" t="str">
        <f aca="false">IF(COUNTIF(Final_CB_I6_V5!$C$2:$C$834,C6)&gt;=1,"YES","NO")</f>
        <v>YES</v>
      </c>
      <c r="F6" s="4" t="str">
        <f aca="false">IFERROR(__xludf.dummyfunction("""COMPUTED_VALUE"""),"asking::about::development::process::(why::blocked)")</f>
        <v>asking::about::development::process::(why::blocked)</v>
      </c>
      <c r="G6" s="4" t="str">
        <f aca="false">IFERROR(__xludf.dummyfunction("""COMPUTED_VALUE"""),"asking::for::clarification::proposal::change::solution::design::(minor)1")</f>
        <v>asking::for::clarification::proposal::change::solution::design::(minor)1</v>
      </c>
      <c r="H6" s="4" t="str">
        <f aca="false">IFERROR(__xludf.dummyfunction("""COMPUTED_VALUE"""),"asking::for::assistance::(fix)::different::project")</f>
        <v>asking::for::assistance::(fix)::different::project</v>
      </c>
    </row>
    <row r="7" customFormat="false" ht="15.75" hidden="false" customHeight="false" outlineLevel="0" collapsed="false">
      <c r="A7" s="3" t="s">
        <v>340</v>
      </c>
      <c r="B7" s="3" t="str">
        <f aca="false">IF(COUNTIF(Final_CB_I6_V5!$B$2:$B$834,A7)&gt;=1,"YES","NO")</f>
        <v>YES</v>
      </c>
      <c r="C7" s="3" t="s">
        <v>342</v>
      </c>
      <c r="D7" s="3" t="str">
        <f aca="false">IF(COUNTIF(Final_CB_I6_V5!$C$2:$C$834,C7)&gt;=1,"YES","NO")</f>
        <v>YES</v>
      </c>
      <c r="F7" s="4" t="str">
        <f aca="false">IFERROR(__xludf.dummyfunction("""COMPUTED_VALUE"""),"asking::about::development::progress")</f>
        <v>asking::about::development::progress</v>
      </c>
      <c r="G7" s="4" t="str">
        <f aca="false">IFERROR(__xludf.dummyfunction("""COMPUTED_VALUE"""),"asking::for::clarification::regarding::implementation::details")</f>
        <v>asking::for::clarification::regarding::implementation::details</v>
      </c>
      <c r="H7" s="4" t="str">
        <f aca="false">IFERROR(__xludf.dummyfunction("""COMPUTED_VALUE"""),"asking::for::clarification::(purpose::BP)")</f>
        <v>asking::for::clarification::(purpose::BP)</v>
      </c>
    </row>
    <row r="8" customFormat="false" ht="15.75" hidden="false" customHeight="false" outlineLevel="0" collapsed="false">
      <c r="A8" s="3" t="s">
        <v>342</v>
      </c>
      <c r="B8" s="3" t="str">
        <f aca="false">IF(COUNTIF(Final_CB_I6_V5!$B$2:$B$834,A8)&gt;=1,"YES","NO")</f>
        <v>YES</v>
      </c>
      <c r="C8" s="3" t="s">
        <v>343</v>
      </c>
      <c r="D8" s="3" t="str">
        <f aca="false">IF(COUNTIF(Final_CB_I6_V5!$C$2:$C$834,C8)&gt;=1,"YES","NO")</f>
        <v>YES</v>
      </c>
      <c r="F8" s="4" t="str">
        <f aca="false">IFERROR(__xludf.dummyfunction("""COMPUTED_VALUE"""),"asking::about::release::timeline")</f>
        <v>asking::about::release::timeline</v>
      </c>
      <c r="G8" s="4" t="str">
        <f aca="false">IFERROR(__xludf.dummyfunction("""COMPUTED_VALUE"""),"asking::for::clarification::regarding::previous::question")</f>
        <v>asking::for::clarification::regarding::previous::question</v>
      </c>
      <c r="H8" s="4" t="str">
        <f aca="false">IFERROR(__xludf.dummyfunction("""COMPUTED_VALUE"""),"asking::for::clarification::about::current::implementation")</f>
        <v>asking::for::clarification::about::current::implementation</v>
      </c>
    </row>
    <row r="9" customFormat="false" ht="15.75" hidden="false" customHeight="false" outlineLevel="0" collapsed="false">
      <c r="A9" s="3" t="s">
        <v>343</v>
      </c>
      <c r="B9" s="3" t="str">
        <f aca="false">IF(COUNTIF(Final_CB_I6_V5!$B$2:$B$834,A9)&gt;=1,"YES","NO")</f>
        <v>YES</v>
      </c>
      <c r="C9" s="3" t="s">
        <v>344</v>
      </c>
      <c r="D9" s="3" t="str">
        <f aca="false">IF(COUNTIF(Final_CB_I6_V5!$C$2:$C$834,C9)&gt;=1,"YES","NO")</f>
        <v>YES</v>
      </c>
      <c r="F9" s="4" t="str">
        <f aca="false">IFERROR(__xludf.dummyfunction("""COMPUTED_VALUE"""),"asking::for::assistance::(confirming::bug)")</f>
        <v>asking::for::assistance::(confirming::bug)</v>
      </c>
      <c r="G9" s="4" t="str">
        <f aca="false">IFERROR(__xludf.dummyfunction("""COMPUTED_VALUE"""),"asking::for::clarification::regarding::where::to::document")</f>
        <v>asking::for::clarification::regarding::where::to::document</v>
      </c>
      <c r="H9" s="4" t="str">
        <f aca="false">IFERROR(__xludf.dummyfunction("""COMPUTED_VALUE"""),"asking::for::clarification::current::implementtaion")</f>
        <v>asking::for::clarification::current::implementtaion</v>
      </c>
    </row>
    <row r="10" customFormat="false" ht="15.75" hidden="false" customHeight="false" outlineLevel="0" collapsed="false">
      <c r="A10" s="3" t="s">
        <v>344</v>
      </c>
      <c r="B10" s="3" t="str">
        <f aca="false">IF(COUNTIF(Final_CB_I6_V5!$B$2:$B$834,A10)&gt;=1,"YES","NO")</f>
        <v>YES</v>
      </c>
      <c r="C10" s="3" t="s">
        <v>345</v>
      </c>
      <c r="D10" s="3" t="str">
        <f aca="false">IF(COUNTIF(Final_CB_I6_V5!$C$2:$C$834,C10)&gt;=1,"YES","NO")</f>
        <v>YES</v>
      </c>
      <c r="F10" s="4" t="str">
        <f aca="false">IFERROR(__xludf.dummyfunction("""COMPUTED_VALUE"""),"asking::for::assistance::(status::bug)")</f>
        <v>asking::for::assistance::(status::bug)</v>
      </c>
      <c r="G10" s="4" t="str">
        <f aca="false">IFERROR(__xludf.dummyfunction("""COMPUTED_VALUE"""),"asking::for::code::for::solution")</f>
        <v>asking::for::code::for::solution</v>
      </c>
      <c r="H10" s="4" t="str">
        <f aca="false">IFERROR(__xludf.dummyfunction("""COMPUTED_VALUE"""),"asking::for::clarification::documentation::(issue)")</f>
        <v>asking::for::clarification::documentation::(issue)</v>
      </c>
    </row>
    <row r="11" customFormat="false" ht="15.75" hidden="false" customHeight="false" outlineLevel="0" collapsed="false">
      <c r="A11" s="3" t="s">
        <v>345</v>
      </c>
      <c r="B11" s="3" t="str">
        <f aca="false">IF(COUNTIF(Final_CB_I6_V5!$B$2:$B$834,A11)&gt;=1,"YES","NO")</f>
        <v>YES</v>
      </c>
      <c r="C11" s="3" t="s">
        <v>346</v>
      </c>
      <c r="D11" s="3" t="str">
        <f aca="false">IF(COUNTIF(Final_CB_I6_V5!$C$2:$C$834,C11)&gt;=1,"YES","NO")</f>
        <v>YES</v>
      </c>
      <c r="F11" s="4" t="str">
        <f aca="false">IFERROR(__xludf.dummyfunction("""COMPUTED_VALUE"""),"asking::for::clarification::documentation")</f>
        <v>asking::for::clarification::documentation</v>
      </c>
      <c r="G11" s="4" t="str">
        <f aca="false">IFERROR(__xludf.dummyfunction("""COMPUTED_VALUE"""),"asking::for::details::(query::used)")</f>
        <v>asking::for::details::(query::used)</v>
      </c>
      <c r="H11" s="4" t="str">
        <f aca="false">IFERROR(__xludf.dummyfunction("""COMPUTED_VALUE"""),"asking::for::clarification::documentation::(where)")</f>
        <v>asking::for::clarification::documentation::(where)</v>
      </c>
    </row>
    <row r="12" customFormat="false" ht="15.75" hidden="false" customHeight="false" outlineLevel="0" collapsed="false">
      <c r="A12" s="3" t="s">
        <v>347</v>
      </c>
      <c r="B12" s="3" t="str">
        <f aca="false">IF(COUNTIF(Final_CB_I6_V5!$B$2:$B$834,A12)&gt;=1,"YES","NO")</f>
        <v>YES</v>
      </c>
      <c r="C12" s="3" t="s">
        <v>348</v>
      </c>
      <c r="D12" s="3" t="str">
        <f aca="false">IF(COUNTIF(Final_CB_I6_V5!$C$2:$C$834,C12)&gt;=1,"YES","NO")</f>
        <v>YES</v>
      </c>
      <c r="F12" s="4" t="str">
        <f aca="false">IFERROR(__xludf.dummyfunction("""COMPUTED_VALUE"""),"asking::for::clarification::expected::behaviour")</f>
        <v>asking::for::clarification::expected::behaviour</v>
      </c>
      <c r="G12" s="4" t="str">
        <f aca="false">IFERROR(__xludf.dummyfunction("""COMPUTED_VALUE"""),"asking::for::example::for::intended::usage2")</f>
        <v>asking::for::example::for::intended::usage2</v>
      </c>
      <c r="H12" s="4" t="str">
        <f aca="false">IFERROR(__xludf.dummyfunction("""COMPUTED_VALUE"""),"asking::for::clarification::proposal::change::solution::design::(minor)2")</f>
        <v>asking::for::clarification::proposal::change::solution::design::(minor)2</v>
      </c>
    </row>
    <row r="13" customFormat="false" ht="15.75" hidden="false" customHeight="false" outlineLevel="0" collapsed="false">
      <c r="A13" s="3" t="s">
        <v>348</v>
      </c>
      <c r="B13" s="3" t="str">
        <f aca="false">IF(COUNTIF(Final_CB_I6_V5!$B$2:$B$834,A13)&gt;=1,"YES","NO")</f>
        <v>YES</v>
      </c>
      <c r="C13" s="3" t="s">
        <v>349</v>
      </c>
      <c r="D13" s="3" t="str">
        <f aca="false">IF(COUNTIF(Final_CB_I6_V5!$C$2:$C$834,C13)&gt;=1,"YES","NO")</f>
        <v>YES</v>
      </c>
      <c r="F13" s="4" t="str">
        <f aca="false">IFERROR(__xludf.dummyfunction("""COMPUTED_VALUE"""),"asking::for::clarification::intended::solution::design")</f>
        <v>asking::for::clarification::intended::solution::design</v>
      </c>
      <c r="G13" s="4" t="str">
        <f aca="false">IFERROR(__xludf.dummyfunction("""COMPUTED_VALUE"""),"asking::for::example::for::intended::usage3")</f>
        <v>asking::for::example::for::intended::usage3</v>
      </c>
      <c r="H13" s="4" t="str">
        <f aca="false">IFERROR(__xludf.dummyfunction("""COMPUTED_VALUE"""),"asking::for::possible::usage")</f>
        <v>asking::for::possible::usage</v>
      </c>
    </row>
    <row r="14" customFormat="false" ht="15.75" hidden="false" customHeight="false" outlineLevel="0" collapsed="false">
      <c r="A14" s="3" t="s">
        <v>350</v>
      </c>
      <c r="B14" s="3" t="str">
        <f aca="false">IF(COUNTIF(Final_CB_I6_V5!$B$2:$B$834,A14)&gt;=1,"YES","NO")</f>
        <v>YES</v>
      </c>
      <c r="C14" s="3" t="s">
        <v>351</v>
      </c>
      <c r="D14" s="3" t="str">
        <f aca="false">IF(COUNTIF(Final_CB_I6_V5!$C$2:$C$834,C14)&gt;=1,"YES","NO")</f>
        <v>YES</v>
      </c>
      <c r="F14" s="4" t="str">
        <f aca="false">IFERROR(__xludf.dummyfunction("""COMPUTED_VALUE"""),"asking::for::clarification::intended::solution::design::(backwards::compatebility)")</f>
        <v>asking::for::clarification::intended::solution::design::(backwards::compatebility)</v>
      </c>
      <c r="G14" s="4" t="str">
        <f aca="false">IFERROR(__xludf.dummyfunction("""COMPUTED_VALUE"""),"asking::for::example::for::intended::usage4")</f>
        <v>asking::for::example::for::intended::usage4</v>
      </c>
      <c r="H14" s="4" t="str">
        <f aca="false">IFERROR(__xludf.dummyfunction("""COMPUTED_VALUE"""),"asking::for::reasons::not::supporting::feature")</f>
        <v>asking::for::reasons::not::supporting::feature</v>
      </c>
    </row>
    <row r="15" customFormat="false" ht="15.75" hidden="false" customHeight="false" outlineLevel="0" collapsed="false">
      <c r="A15" s="3" t="s">
        <v>352</v>
      </c>
      <c r="B15" s="3" t="str">
        <f aca="false">IF(COUNTIF(Final_CB_I6_V5!$B$2:$B$834,A15)&gt;=1,"YES","NO")</f>
        <v>YES</v>
      </c>
      <c r="C15" s="3" t="s">
        <v>350</v>
      </c>
      <c r="D15" s="3" t="str">
        <f aca="false">IF(COUNTIF(Final_CB_I6_V5!$C$2:$C$834,C15)&gt;=1,"YES","NO")</f>
        <v>YES</v>
      </c>
      <c r="F15" s="4" t="str">
        <f aca="false">IFERROR(__xludf.dummyfunction("""COMPUTED_VALUE"""),"asking::for::clarification::missing::documentation")</f>
        <v>asking::for::clarification::missing::documentation</v>
      </c>
      <c r="G15" s="4" t="str">
        <f aca="false">IFERROR(__xludf.dummyfunction("""COMPUTED_VALUE"""),"asking::for::milestone::selection")</f>
        <v>asking::for::milestone::selection</v>
      </c>
      <c r="H15" s="4" t="str">
        <f aca="false">IFERROR(__xludf.dummyfunction("""COMPUTED_VALUE"""),"asking::for::reasons::not::supporting::solution")</f>
        <v>asking::for::reasons::not::supporting::solution</v>
      </c>
    </row>
    <row r="16" customFormat="false" ht="15.75" hidden="false" customHeight="false" outlineLevel="0" collapsed="false">
      <c r="A16" s="3" t="s">
        <v>19</v>
      </c>
      <c r="B16" s="3" t="str">
        <f aca="false">IF(COUNTIF(Final_CB_I6_V5!$B$2:$B$834,A16)&gt;=1,"YES","NO")</f>
        <v>YES</v>
      </c>
      <c r="C16" s="3" t="s">
        <v>353</v>
      </c>
      <c r="D16" s="3" t="str">
        <f aca="false">IF(COUNTIF(Final_CB_I6_V5!$C$2:$C$834,C16)&gt;=1,"YES","NO")</f>
        <v>YES</v>
      </c>
      <c r="F16" s="4" t="str">
        <f aca="false">IFERROR(__xludf.dummyfunction("""COMPUTED_VALUE"""),"asking::for::clarification::solution::design")</f>
        <v>asking::for::clarification::solution::design</v>
      </c>
      <c r="G16" s="4" t="str">
        <f aca="false">IFERROR(__xludf.dummyfunction("""COMPUTED_VALUE"""),"assignation::of::the::bug")</f>
        <v>assignation::of::the::bug</v>
      </c>
      <c r="H16" s="4" t="str">
        <f aca="false">IFERROR(__xludf.dummyfunction("""COMPUTED_VALUE"""),"back::porting::of::the::fix")</f>
        <v>back::porting::of::the::fix</v>
      </c>
    </row>
    <row r="17" customFormat="false" ht="15.75" hidden="false" customHeight="false" outlineLevel="0" collapsed="false">
      <c r="A17" s="3" t="s">
        <v>354</v>
      </c>
      <c r="B17" s="3" t="str">
        <f aca="false">IF(COUNTIF(Final_CB_I6_V5!$B$2:$B$834,A17)&gt;=1,"YES","NO")</f>
        <v>YES</v>
      </c>
      <c r="C17" s="3" t="s">
        <v>355</v>
      </c>
      <c r="D17" s="3" t="str">
        <f aca="false">IF(COUNTIF(Final_CB_I6_V5!$C$2:$C$834,C17)&gt;=1,"YES","NO")</f>
        <v>YES</v>
      </c>
      <c r="F17" s="4" t="str">
        <f aca="false">IFERROR(__xludf.dummyfunction("""COMPUTED_VALUE"""),"asking::for::details::(nova::version)")</f>
        <v>asking::for::details::(nova::version)</v>
      </c>
      <c r="G17" s="4" t="str">
        <f aca="false">IFERROR(__xludf.dummyfunction("""COMPUTED_VALUE"""),"BP::is::continuation::of::other::BP")</f>
        <v>BP::is::continuation::of::other::BP</v>
      </c>
      <c r="H17" s="4" t="str">
        <f aca="false">IFERROR(__xludf.dummyfunction("""COMPUTED_VALUE"""),"change::abandoned::by::the::responsible")</f>
        <v>change::abandoned::by::the::responsible</v>
      </c>
    </row>
    <row r="18" customFormat="false" ht="15.75" hidden="false" customHeight="false" outlineLevel="0" collapsed="false">
      <c r="A18" s="3" t="s">
        <v>356</v>
      </c>
      <c r="B18" s="3" t="str">
        <f aca="false">IF(COUNTIF(Final_CB_I6_V5!$B$2:$B$834,A18)&gt;=1,"YES","NO")</f>
        <v>YES</v>
      </c>
      <c r="C18" s="3" t="s">
        <v>357</v>
      </c>
      <c r="D18" s="3" t="str">
        <f aca="false">IF(COUNTIF(Final_CB_I6_V5!$C$2:$C$834,C18)&gt;=1,"YES","NO")</f>
        <v>YES</v>
      </c>
      <c r="F18" s="4" t="str">
        <f aca="false">IFERROR(__xludf.dummyfunction("""COMPUTED_VALUE"""),"asking::for::documentation")</f>
        <v>asking::for::documentation</v>
      </c>
      <c r="G18" s="4" t="str">
        <f aca="false">IFERROR(__xludf.dummyfunction("""COMPUTED_VALUE"""),"bug::confirmed::(master::branch)")</f>
        <v>bug::confirmed::(master::branch)</v>
      </c>
      <c r="H18" s="4" t="str">
        <f aca="false">IFERROR(__xludf.dummyfunction("""COMPUTED_VALUE"""),"change::in::implementation::status::(code::review)")</f>
        <v>change::in::implementation::status::(code::review)</v>
      </c>
    </row>
    <row r="19" customFormat="false" ht="15.75" hidden="false" customHeight="false" outlineLevel="0" collapsed="false">
      <c r="A19" s="3" t="s">
        <v>358</v>
      </c>
      <c r="B19" s="3" t="str">
        <f aca="false">IF(COUNTIF(Final_CB_I6_V5!$B$2:$B$834,A19)&gt;=1,"YES","NO")</f>
        <v>YES</v>
      </c>
      <c r="C19" s="3" t="s">
        <v>352</v>
      </c>
      <c r="D19" s="3" t="str">
        <f aca="false">IF(COUNTIF(Final_CB_I6_V5!$C$2:$C$834,C19)&gt;=1,"YES","NO")</f>
        <v>YES</v>
      </c>
      <c r="F19" s="4" t="str">
        <f aca="false">IFERROR(__xludf.dummyfunction("""COMPUTED_VALUE"""),"asking::for::example::for::intended::usage1")</f>
        <v>asking::for::example::for::intended::usage1</v>
      </c>
      <c r="G19" s="4" t="str">
        <f aca="false">IFERROR(__xludf.dummyfunction("""COMPUTED_VALUE"""),"bug::is::special::version::of::related::bug")</f>
        <v>bug::is::special::version::of::related::bug</v>
      </c>
      <c r="H19" s="4" t="str">
        <f aca="false">IFERROR(__xludf.dummyfunction("""COMPUTED_VALUE"""),"change::in::implementation::status::(implemented)")</f>
        <v>change::in::implementation::status::(implemented)</v>
      </c>
    </row>
    <row r="20" customFormat="false" ht="15.75" hidden="false" customHeight="false" outlineLevel="0" collapsed="false">
      <c r="A20" s="3" t="s">
        <v>359</v>
      </c>
      <c r="B20" s="3" t="str">
        <f aca="false">IF(COUNTIF(Final_CB_I6_V5!$B$2:$B$834,A20)&gt;=1,"YES","NO")</f>
        <v>YES</v>
      </c>
      <c r="C20" s="3" t="s">
        <v>360</v>
      </c>
      <c r="D20" s="3" t="str">
        <f aca="false">IF(COUNTIF(Final_CB_I6_V5!$C$2:$C$834,C20)&gt;=1,"YES","NO")</f>
        <v>YES</v>
      </c>
      <c r="F20" s="4" t="str">
        <f aca="false">IFERROR(__xludf.dummyfunction("""COMPUTED_VALUE"""),"asking::for::feature::freeze::exception::(FFE)")</f>
        <v>asking::for::feature::freeze::exception::(FFE)</v>
      </c>
      <c r="G20" s="4" t="str">
        <f aca="false">IFERROR(__xludf.dummyfunction("""COMPUTED_VALUE"""),"cause::of::bug::(new::feature)")</f>
        <v>cause::of::bug::(new::feature)</v>
      </c>
      <c r="H20" s="4" t="str">
        <f aca="false">IFERROR(__xludf.dummyfunction("""COMPUTED_VALUE"""),"change::in::priority::(medium)")</f>
        <v>change::in::priority::(medium)</v>
      </c>
    </row>
    <row r="21" customFormat="false" ht="15.75" hidden="false" customHeight="false" outlineLevel="0" collapsed="false">
      <c r="A21" s="3" t="s">
        <v>361</v>
      </c>
      <c r="B21" s="3" t="str">
        <f aca="false">IF(COUNTIF(Final_CB_I6_V5!$B$2:$B$834,A21)&gt;=1,"YES","NO")</f>
        <v>YES</v>
      </c>
      <c r="C21" s="3" t="s">
        <v>362</v>
      </c>
      <c r="D21" s="3" t="str">
        <f aca="false">IF(COUNTIF(Final_CB_I6_V5!$C$2:$C$834,C21)&gt;=1,"YES","NO")</f>
        <v>YES</v>
      </c>
      <c r="F21" s="4" t="str">
        <f aca="false">IFERROR(__xludf.dummyfunction("""COMPUTED_VALUE"""),"asking::for::testing")</f>
        <v>asking::for::testing</v>
      </c>
      <c r="G21" s="4" t="str">
        <f aca="false">IFERROR(__xludf.dummyfunction("""COMPUTED_VALUE"""),"change::abandoned::by::the::responsible::(link::review1)")</f>
        <v>change::abandoned::by::the::responsible::(link::review1)</v>
      </c>
      <c r="H21" s="4" t="str">
        <f aca="false">IFERROR(__xludf.dummyfunction("""COMPUTED_VALUE"""),"change2::abandoned::by::the::responsible")</f>
        <v>change2::abandoned::by::the::responsible</v>
      </c>
    </row>
    <row r="22" customFormat="false" ht="15.75" hidden="false" customHeight="false" outlineLevel="0" collapsed="false">
      <c r="A22" s="3" t="s">
        <v>363</v>
      </c>
      <c r="B22" s="3" t="str">
        <f aca="false">IF(COUNTIF(Final_CB_I6_V5!$B$2:$B$834,A22)&gt;=1,"YES","NO")</f>
        <v>YES</v>
      </c>
      <c r="C22" s="3" t="s">
        <v>19</v>
      </c>
      <c r="D22" s="3" t="str">
        <f aca="false">IF(COUNTIF(Final_CB_I6_V5!$C$2:$C$834,C22)&gt;=1,"YES","NO")</f>
        <v>YES</v>
      </c>
      <c r="F22" s="4" t="str">
        <f aca="false">IFERROR(__xludf.dummyfunction("""COMPUTED_VALUE"""),"bug::is::not::the::same::as::bug::already::fixed")</f>
        <v>bug::is::not::the::same::as::bug::already::fixed</v>
      </c>
      <c r="G22" s="4" t="str">
        <f aca="false">IFERROR(__xludf.dummyfunction("""COMPUTED_VALUE"""),"change::abandoned::by::the::responsible::(link::review2)")</f>
        <v>change::abandoned::by::the::responsible::(link::review2)</v>
      </c>
      <c r="H22" s="4" t="str">
        <f aca="false">IFERROR(__xludf.dummyfunction("""COMPUTED_VALUE"""),"changed::original::description::(link::to::original::description)")</f>
        <v>changed::original::description::(link::to::original::description)</v>
      </c>
    </row>
    <row r="23" customFormat="false" ht="15.75" hidden="false" customHeight="false" outlineLevel="0" collapsed="false">
      <c r="A23" s="3" t="s">
        <v>364</v>
      </c>
      <c r="B23" s="3" t="str">
        <f aca="false">IF(COUNTIF(Final_CB_I6_V5!$B$2:$B$834,A23)&gt;=1,"YES","NO")</f>
        <v>YES</v>
      </c>
      <c r="C23" s="3" t="s">
        <v>354</v>
      </c>
      <c r="D23" s="3" t="str">
        <f aca="false">IF(COUNTIF(Final_CB_I6_V5!$C$2:$C$834,C23)&gt;=1,"YES","NO")</f>
        <v>YES</v>
      </c>
      <c r="F23" s="4" t="str">
        <f aca="false">IFERROR(__xludf.dummyfunction("""COMPUTED_VALUE"""),"cause::of::another::bug::(explanation)")</f>
        <v>cause::of::another::bug::(explanation)</v>
      </c>
      <c r="G23" s="4" t="str">
        <f aca="false">IFERROR(__xludf.dummyfunction("""COMPUTED_VALUE"""),"change::in::implementation::status::(in::progress)")</f>
        <v>change::in::implementation::status::(in::progress)</v>
      </c>
      <c r="H23" s="4" t="str">
        <f aca="false">IFERROR(__xludf.dummyfunction("""COMPUTED_VALUE"""),"clarifying::development::process::(documentation::BP)")</f>
        <v>clarifying::development::process::(documentation::BP)</v>
      </c>
    </row>
    <row r="24" customFormat="false" ht="15.75" hidden="false" customHeight="false" outlineLevel="0" collapsed="false">
      <c r="A24" s="3" t="s">
        <v>365</v>
      </c>
      <c r="B24" s="3" t="str">
        <f aca="false">IF(COUNTIF(Final_CB_I6_V5!$B$2:$B$834,A24)&gt;=1,"YES","NO")</f>
        <v>YES</v>
      </c>
      <c r="C24" s="3" t="s">
        <v>356</v>
      </c>
      <c r="D24" s="3" t="str">
        <f aca="false">IF(COUNTIF(Final_CB_I6_V5!$C$2:$C$834,C24)&gt;=1,"YES","NO")</f>
        <v>YES</v>
      </c>
      <c r="F24" s="4" t="str">
        <f aca="false">IFERROR(__xludf.dummyfunction("""COMPUTED_VALUE"""),"cause::of::bug::(explanation)")</f>
        <v>cause::of::bug::(explanation)</v>
      </c>
      <c r="G24" s="4" t="str">
        <f aca="false">IFERROR(__xludf.dummyfunction("""COMPUTED_VALUE"""),"code::reviews::required")</f>
        <v>code::reviews::required</v>
      </c>
      <c r="H24" s="4" t="str">
        <f aca="false">IFERROR(__xludf.dummyfunction("""COMPUTED_VALUE"""),"clarifying::development::process::(issue::tracker)")</f>
        <v>clarifying::development::process::(issue::tracker)</v>
      </c>
    </row>
    <row r="25" customFormat="false" ht="15.75" hidden="false" customHeight="false" outlineLevel="0" collapsed="false">
      <c r="A25" s="3" t="s">
        <v>366</v>
      </c>
      <c r="B25" s="3" t="str">
        <f aca="false">IF(COUNTIF(Final_CB_I6_V5!$B$2:$B$834,A25)&gt;=1,"YES","NO")</f>
        <v>YES</v>
      </c>
      <c r="C25" s="3" t="s">
        <v>358</v>
      </c>
      <c r="D25" s="3" t="str">
        <f aca="false">IF(COUNTIF(Final_CB_I6_V5!$C$2:$C$834,C25)&gt;=1,"YES","NO")</f>
        <v>YES</v>
      </c>
      <c r="F25" s="4" t="str">
        <f aca="false">IFERROR(__xludf.dummyfunction("""COMPUTED_VALUE"""),"causes::bug::(link::launchpad)::not::equal::fixed::bug")</f>
        <v>causes::bug::(link::launchpad)::not::equal::fixed::bug</v>
      </c>
      <c r="G25" s="4" t="str">
        <f aca="false">IFERROR(__xludf.dummyfunction("""COMPUTED_VALUE"""),"command::line::output")</f>
        <v>command::line::output</v>
      </c>
      <c r="H25" s="4" t="str">
        <f aca="false">IFERROR(__xludf.dummyfunction("""COMPUTED_VALUE"""),"clarifying::development::process::(justification::approach)")</f>
        <v>clarifying::development::process::(justification::approach)</v>
      </c>
    </row>
    <row r="26" customFormat="false" ht="15.75" hidden="false" customHeight="false" outlineLevel="0" collapsed="false">
      <c r="A26" s="3" t="s">
        <v>367</v>
      </c>
      <c r="B26" s="3" t="str">
        <f aca="false">IF(COUNTIF(Final_CB_I6_V5!$B$2:$B$834,A26)&gt;=1,"YES","NO")</f>
        <v>YES</v>
      </c>
      <c r="C26" s="3" t="s">
        <v>368</v>
      </c>
      <c r="D26" s="3" t="str">
        <f aca="false">IF(COUNTIF(Final_CB_I6_V5!$C$2:$C$834,C26)&gt;=1,"YES","NO")</f>
        <v>YES</v>
      </c>
      <c r="F26" s="4" t="str">
        <f aca="false">IFERROR(__xludf.dummyfunction("""COMPUTED_VALUE"""),"change::abandoned::by::the::one::who::proposed::changes::not::main::branch")</f>
        <v>change::abandoned::by::the::one::who::proposed::changes::not::main::branch</v>
      </c>
      <c r="G26" s="4" t="str">
        <f aca="false">IFERROR(__xludf.dummyfunction("""COMPUTED_VALUE"""),"contact::for::details")</f>
        <v>contact::for::details</v>
      </c>
      <c r="H26" s="4" t="str">
        <f aca="false">IFERROR(__xludf.dummyfunction("""COMPUTED_VALUE"""),"disagreeing::suggestion::rename::variables")</f>
        <v>disagreeing::suggestion::rename::variables</v>
      </c>
    </row>
    <row r="27" customFormat="false" ht="15.75" hidden="false" customHeight="false" outlineLevel="0" collapsed="false">
      <c r="A27" s="3" t="s">
        <v>369</v>
      </c>
      <c r="B27" s="3" t="str">
        <f aca="false">IF(COUNTIF(Final_CB_I6_V5!$B$2:$B$834,A27)&gt;=1,"YES","NO")</f>
        <v>YES</v>
      </c>
      <c r="C27" s="3" t="s">
        <v>365</v>
      </c>
      <c r="D27" s="3" t="str">
        <f aca="false">IF(COUNTIF(Final_CB_I6_V5!$C$2:$C$834,C27)&gt;=1,"YES","NO")</f>
        <v>YES</v>
      </c>
      <c r="F27" s="4" t="str">
        <f aca="false">IFERROR(__xludf.dummyfunction("""COMPUTED_VALUE"""),"claim::of::responsibility::for::fix")</f>
        <v>claim::of::responsibility::for::fix</v>
      </c>
      <c r="G27" s="4" t="str">
        <f aca="false">IFERROR(__xludf.dummyfunction("""COMPUTED_VALUE"""),"correction::of::previous::statement")</f>
        <v>correction::of::previous::statement</v>
      </c>
      <c r="H27" s="4" t="str">
        <f aca="false">IFERROR(__xludf.dummyfunction("""COMPUTED_VALUE"""),"disagreement::missing::documentation")</f>
        <v>disagreement::missing::documentation</v>
      </c>
    </row>
    <row r="28" customFormat="false" ht="15.75" hidden="false" customHeight="false" outlineLevel="0" collapsed="false">
      <c r="A28" s="3" t="s">
        <v>370</v>
      </c>
      <c r="B28" s="3" t="str">
        <f aca="false">IF(COUNTIF(Final_CB_I6_V5!$B$2:$B$834,A28)&gt;=1,"YES","NO")</f>
        <v>YES</v>
      </c>
      <c r="C28" s="3" t="s">
        <v>367</v>
      </c>
      <c r="D28" s="3" t="str">
        <f aca="false">IF(COUNTIF(Final_CB_I6_V5!$C$2:$C$834,C28)&gt;=1,"YES","NO")</f>
        <v>YES</v>
      </c>
      <c r="F28" s="4" t="str">
        <f aca="false">IFERROR(__xludf.dummyfunction("""COMPUTED_VALUE"""),"commenting::development::process::(schedule/time)")</f>
        <v>commenting::development::process::(schedule/time)</v>
      </c>
      <c r="G28" s="4" t="str">
        <f aca="false">IFERROR(__xludf.dummyfunction("""COMPUTED_VALUE"""),"deferred::to::later::release")</f>
        <v>deferred::to::later::release</v>
      </c>
      <c r="H28" s="4" t="str">
        <f aca="false">IFERROR(__xludf.dummyfunction("""COMPUTED_VALUE"""),"disagreement::proposal::of::a::possible::solution::(explanation)")</f>
        <v>disagreement::proposal::of::a::possible::solution::(explanation)</v>
      </c>
    </row>
    <row r="29" customFormat="false" ht="15.75" hidden="false" customHeight="false" outlineLevel="0" collapsed="false">
      <c r="A29" s="3" t="s">
        <v>371</v>
      </c>
      <c r="B29" s="3" t="str">
        <f aca="false">IF(COUNTIF(Final_CB_I6_V5!$B$2:$B$834,A29)&gt;=1,"YES","NO")</f>
        <v>YES</v>
      </c>
      <c r="C29" s="3" t="s">
        <v>370</v>
      </c>
      <c r="D29" s="3" t="str">
        <f aca="false">IF(COUNTIF(Final_CB_I6_V5!$C$2:$C$834,C29)&gt;=1,"YES","NO")</f>
        <v>YES</v>
      </c>
      <c r="F29" s="4" t="str">
        <f aca="false">IFERROR(__xludf.dummyfunction("""COMPUTED_VALUE"""),"commenting::development::process::(why::blocked)")</f>
        <v>commenting::development::process::(why::blocked)</v>
      </c>
      <c r="G29" s="4" t="str">
        <f aca="false">IFERROR(__xludf.dummyfunction("""COMPUTED_VALUE"""),"deferred::to::later::release1")</f>
        <v>deferred::to::later::release1</v>
      </c>
      <c r="H29" s="4" t="str">
        <f aca="false">IFERROR(__xludf.dummyfunction("""COMPUTED_VALUE"""),"discussing::inteded::solution::design::(join)")</f>
        <v>discussing::inteded::solution::design::(join)</v>
      </c>
    </row>
    <row r="30" customFormat="false" ht="15.75" hidden="false" customHeight="false" outlineLevel="0" collapsed="false">
      <c r="A30" s="3" t="s">
        <v>372</v>
      </c>
      <c r="B30" s="3" t="str">
        <f aca="false">IF(COUNTIF(Final_CB_I6_V5!$B$2:$B$834,A30)&gt;=1,"YES","NO")</f>
        <v>YES</v>
      </c>
      <c r="C30" s="3" t="s">
        <v>371</v>
      </c>
      <c r="D30" s="3" t="str">
        <f aca="false">IF(COUNTIF(Final_CB_I6_V5!$C$2:$C$834,C30)&gt;=1,"YES","NO")</f>
        <v>YES</v>
      </c>
      <c r="F30" s="4" t="str">
        <f aca="false">IFERROR(__xludf.dummyfunction("""COMPUTED_VALUE"""),"covered::areas:.of::the::project:.in::the::bp/feature")</f>
        <v>covered::areas:.of::the::project:.in::the::bp/feature</v>
      </c>
      <c r="G30" s="4" t="str">
        <f aca="false">IFERROR(__xludf.dummyfunction("""COMPUTED_VALUE"""),"dependency::on::other::feature::(no::longer::given)")</f>
        <v>dependency::on::other::feature::(no::longer::given)</v>
      </c>
      <c r="H30" s="4" t="str">
        <f aca="false">IFERROR(__xludf.dummyfunction("""COMPUTED_VALUE"""),"displays::error::message")</f>
        <v>displays::error::message</v>
      </c>
    </row>
    <row r="31" customFormat="false" ht="15.75" hidden="false" customHeight="false" outlineLevel="0" collapsed="false">
      <c r="A31" s="3" t="s">
        <v>373</v>
      </c>
      <c r="B31" s="3" t="str">
        <f aca="false">IF(COUNTIF(Final_CB_I6_V5!$B$2:$B$834,A31)&gt;=1,"YES","NO")</f>
        <v>YES</v>
      </c>
      <c r="C31" s="3" t="s">
        <v>374</v>
      </c>
      <c r="D31" s="3" t="str">
        <f aca="false">IF(COUNTIF(Final_CB_I6_V5!$C$2:$C$834,C31)&gt;=1,"YES","NO")</f>
        <v>YES</v>
      </c>
      <c r="F31" s="4" t="str">
        <f aca="false">IFERROR(__xludf.dummyfunction("""COMPUTED_VALUE"""),"current::situation::(why::feature::is::needed)")</f>
        <v>current::situation::(why::feature::is::needed)</v>
      </c>
      <c r="G31" s="4" t="str">
        <f aca="false">IFERROR(__xludf.dummyfunction("""COMPUTED_VALUE"""),"dependency::tree")</f>
        <v>dependency::tree</v>
      </c>
      <c r="H31" s="4" t="str">
        <f aca="false">IFERROR(__xludf.dummyfunction("""COMPUTED_VALUE"""),"examples::of::affected::codes::with::the::BP")</f>
        <v>examples::of::affected::codes::with::the::BP</v>
      </c>
    </row>
    <row r="32" customFormat="false" ht="15.75" hidden="false" customHeight="false" outlineLevel="0" collapsed="false">
      <c r="A32" s="3" t="s">
        <v>375</v>
      </c>
      <c r="B32" s="3" t="str">
        <f aca="false">IF(COUNTIF(Final_CB_I6_V5!$B$2:$B$834,A32)&gt;=1,"YES","NO")</f>
        <v>YES</v>
      </c>
      <c r="C32" s="3" t="s">
        <v>376</v>
      </c>
      <c r="D32" s="3" t="str">
        <f aca="false">IF(COUNTIF(Final_CB_I6_V5!$C$2:$C$834,C32)&gt;=1,"YES","NO")</f>
        <v>YES</v>
      </c>
      <c r="F32" s="4" t="str">
        <f aca="false">IFERROR(__xludf.dummyfunction("""COMPUTED_VALUE"""),"deadline::missed::feature:freeze")</f>
        <v>deadline::missed::feature:freeze</v>
      </c>
      <c r="G32" s="4" t="str">
        <f aca="false">IFERROR(__xludf.dummyfunction("""COMPUTED_VALUE"""),"done")</f>
        <v>done</v>
      </c>
      <c r="H32" s="4" t="str">
        <f aca="false">IFERROR(__xludf.dummyfunction("""COMPUTED_VALUE"""),"exceptions::of::expected::behaviour")</f>
        <v>exceptions::of::expected::behaviour</v>
      </c>
    </row>
    <row r="33" customFormat="false" ht="15.75" hidden="false" customHeight="false" outlineLevel="0" collapsed="false">
      <c r="A33" s="3" t="s">
        <v>374</v>
      </c>
      <c r="B33" s="3" t="str">
        <f aca="false">IF(COUNTIF(Final_CB_I6_V5!$B$2:$B$834,A33)&gt;=1,"YES","NO")</f>
        <v>YES</v>
      </c>
      <c r="C33" s="3" t="s">
        <v>377</v>
      </c>
      <c r="D33" s="3" t="str">
        <f aca="false">IF(COUNTIF(Final_CB_I6_V5!$C$2:$C$834,C33)&gt;=1,"YES","NO")</f>
        <v>YES</v>
      </c>
      <c r="F33" s="4" t="str">
        <f aca="false">IFERROR(__xludf.dummyfunction("""COMPUTED_VALUE"""),"dependencies::of::the::BP::in::development::process")</f>
        <v>dependencies::of::the::BP::in::development::process</v>
      </c>
      <c r="G33" s="4" t="str">
        <f aca="false">IFERROR(__xludf.dummyfunction("""COMPUTED_VALUE"""),"dropping::some::patches::(outdated::feature)")</f>
        <v>dropping::some::patches::(outdated::feature)</v>
      </c>
      <c r="H33" s="4" t="str">
        <f aca="false">IFERROR(__xludf.dummyfunction("""COMPUTED_VALUE"""),"expectations::for::feature::freeze::exception::(FFE)")</f>
        <v>expectations::for::feature::freeze::exception::(FFE)</v>
      </c>
    </row>
    <row r="34" customFormat="false" ht="15.75" hidden="false" customHeight="false" outlineLevel="0" collapsed="false">
      <c r="A34" s="3" t="s">
        <v>378</v>
      </c>
      <c r="B34" s="3" t="str">
        <f aca="false">IF(COUNTIF(Final_CB_I6_V5!$B$2:$B$834,A34)&gt;=1,"YES","NO")</f>
        <v>YES</v>
      </c>
      <c r="C34" s="3" t="s">
        <v>379</v>
      </c>
      <c r="D34" s="3" t="str">
        <f aca="false">IF(COUNTIF(Final_CB_I6_V5!$C$2:$C$834,C34)&gt;=1,"YES","NO")</f>
        <v>YES</v>
      </c>
      <c r="F34" s="4" t="str">
        <f aca="false">IFERROR(__xludf.dummyfunction("""COMPUTED_VALUE"""),"dependency::on::other::feature")</f>
        <v>dependency::on::other::feature</v>
      </c>
      <c r="G34" s="4" t="str">
        <f aca="false">IFERROR(__xludf.dummyfunction("""COMPUTED_VALUE"""),"expected::outcome")</f>
        <v>expected::outcome</v>
      </c>
      <c r="H34" s="4" t="str">
        <f aca="false">IFERROR(__xludf.dummyfunction("""COMPUTED_VALUE"""),"expected::behaviour::(per::expected::functionallity)")</f>
        <v>expected::behaviour::(per::expected::functionallity)</v>
      </c>
    </row>
    <row r="35" customFormat="false" ht="15.75" hidden="false" customHeight="false" outlineLevel="0" collapsed="false">
      <c r="A35" s="3" t="s">
        <v>380</v>
      </c>
      <c r="B35" s="3" t="str">
        <f aca="false">IF(COUNTIF(Final_CB_I6_V5!$B$2:$B$834,A35)&gt;=1,"YES","NO")</f>
        <v>YES</v>
      </c>
      <c r="C35" s="3" t="s">
        <v>380</v>
      </c>
      <c r="D35" s="3" t="str">
        <f aca="false">IF(COUNTIF(Final_CB_I6_V5!$C$2:$C$834,C35)&gt;=1,"YES","NO")</f>
        <v>YES</v>
      </c>
      <c r="F35" s="4" t="str">
        <f aca="false">IFERROR(__xludf.dummyfunction("""COMPUTED_VALUE"""),"disagreement::bug::already::fixed::(different::branch)")</f>
        <v>disagreement::bug::already::fixed::(different::branch)</v>
      </c>
      <c r="G35" s="4" t="str">
        <f aca="false">IFERROR(__xludf.dummyfunction("""COMPUTED_VALUE"""),"expected::outcome::(refactoring)")</f>
        <v>expected::outcome::(refactoring)</v>
      </c>
      <c r="H35" s="4" t="str">
        <f aca="false">IFERROR(__xludf.dummyfunction("""COMPUTED_VALUE"""),"expected::outcome::(functionallities::to::remove)")</f>
        <v>expected::outcome::(functionallities::to::remove)</v>
      </c>
    </row>
    <row r="36" customFormat="false" ht="15.75" hidden="false" customHeight="false" outlineLevel="0" collapsed="false">
      <c r="A36" s="3" t="s">
        <v>33</v>
      </c>
      <c r="B36" s="3" t="str">
        <f aca="false">IF(COUNTIF(Final_CB_I6_V5!$B$2:$B$834,A36)&gt;=1,"YES","NO")</f>
        <v>YES</v>
      </c>
      <c r="C36" s="3" t="s">
        <v>381</v>
      </c>
      <c r="D36" s="3" t="str">
        <f aca="false">IF(COUNTIF(Final_CB_I6_V5!$C$2:$C$834,C36)&gt;=1,"YES","NO")</f>
        <v>YES</v>
      </c>
      <c r="F36" s="4" t="str">
        <f aca="false">IFERROR(__xludf.dummyfunction("""COMPUTED_VALUE"""),"disagreement::potential::bug::found")</f>
        <v>disagreement::potential::bug::found</v>
      </c>
      <c r="G36" s="4" t="str">
        <f aca="false">IFERROR(__xludf.dummyfunction("""COMPUTED_VALUE"""),"expected::outcome::(use::of::existing::functionality)")</f>
        <v>expected::outcome::(use::of::existing::functionality)</v>
      </c>
      <c r="H36" s="4" t="str">
        <f aca="false">IFERROR(__xludf.dummyfunction("""COMPUTED_VALUE"""),"expected::outcome::(per::expected::functionallity)")</f>
        <v>expected::outcome::(per::expected::functionallity)</v>
      </c>
    </row>
    <row r="37" customFormat="false" ht="15.75" hidden="false" customHeight="false" outlineLevel="0" collapsed="false">
      <c r="A37" s="3" t="s">
        <v>382</v>
      </c>
      <c r="B37" s="3" t="str">
        <f aca="false">IF(COUNTIF(Final_CB_I6_V5!$B$2:$B$834,A37)&gt;=1,"YES","NO")</f>
        <v>YES</v>
      </c>
      <c r="C37" s="3" t="s">
        <v>383</v>
      </c>
      <c r="D37" s="3" t="str">
        <f aca="false">IF(COUNTIF(Final_CB_I6_V5!$C$2:$C$834,C37)&gt;=1,"YES","NO")</f>
        <v>YES</v>
      </c>
      <c r="F37" s="4" t="str">
        <f aca="false">IFERROR(__xludf.dummyfunction("""COMPUTED_VALUE"""),"discussing::inteded::solution::design")</f>
        <v>discussing::inteded::solution::design</v>
      </c>
      <c r="G37" s="4" t="str">
        <f aca="false">IFERROR(__xludf.dummyfunction("""COMPUTED_VALUE"""),"expired::freeze::exception::(FFE)")</f>
        <v>expired::freeze::exception::(FFE)</v>
      </c>
      <c r="H37" s="4" t="str">
        <f aca="false">IFERROR(__xludf.dummyfunction("""COMPUTED_VALUE"""),"explanation::of::log")</f>
        <v>explanation::of::log</v>
      </c>
    </row>
    <row r="38" customFormat="false" ht="15.75" hidden="false" customHeight="false" outlineLevel="0" collapsed="false">
      <c r="A38" s="3" t="s">
        <v>384</v>
      </c>
      <c r="B38" s="3" t="str">
        <f aca="false">IF(COUNTIF(Final_CB_I6_V5!$B$2:$B$834,A38)&gt;=1,"YES","NO")</f>
        <v>YES</v>
      </c>
      <c r="C38" s="3" t="s">
        <v>385</v>
      </c>
      <c r="D38" s="3" t="str">
        <f aca="false">IF(COUNTIF(Final_CB_I6_V5!$C$2:$C$834,C38)&gt;=1,"YES","NO")</f>
        <v>YES</v>
      </c>
      <c r="F38" s="4" t="str">
        <f aca="false">IFERROR(__xludf.dummyfunction("""COMPUTED_VALUE"""),"discussing::potential::bug")</f>
        <v>discussing::potential::bug</v>
      </c>
      <c r="G38" s="4" t="str">
        <f aca="false">IFERROR(__xludf.dummyfunction("""COMPUTED_VALUE"""),"feature::deadline::missed")</f>
        <v>feature::deadline::missed</v>
      </c>
      <c r="H38" s="4" t="str">
        <f aca="false">IFERROR(__xludf.dummyfunction("""COMPUTED_VALUE"""),"explanation::of::log::(ignore::log)")</f>
        <v>explanation::of::log::(ignore::log)</v>
      </c>
    </row>
    <row r="39" customFormat="false" ht="15.75" hidden="false" customHeight="false" outlineLevel="0" collapsed="false">
      <c r="A39" s="3" t="s">
        <v>383</v>
      </c>
      <c r="B39" s="3" t="str">
        <f aca="false">IF(COUNTIF(Final_CB_I6_V5!$B$2:$B$834,A39)&gt;=1,"YES","NO")</f>
        <v>YES</v>
      </c>
      <c r="C39" s="3" t="s">
        <v>386</v>
      </c>
      <c r="D39" s="3" t="str">
        <f aca="false">IF(COUNTIF(Final_CB_I6_V5!$C$2:$C$834,C39)&gt;=1,"YES","NO")</f>
        <v>YES</v>
      </c>
      <c r="F39" s="4" t="str">
        <f aca="false">IFERROR(__xludf.dummyfunction("""COMPUTED_VALUE"""),"displays::error::message::(logs)")</f>
        <v>displays::error::message::(logs)</v>
      </c>
      <c r="G39" s="4" t="str">
        <f aca="false">IFERROR(__xludf.dummyfunction("""COMPUTED_VALUE"""),"feature::description::(multiple::concerns)")</f>
        <v>feature::description::(multiple::concerns)</v>
      </c>
      <c r="H39" s="4" t="str">
        <f aca="false">IFERROR(__xludf.dummyfunction("""COMPUTED_VALUE"""),"features:.deferring:.to::bugs")</f>
        <v>features:.deferring:.to::bugs</v>
      </c>
    </row>
    <row r="40" customFormat="false" ht="15.75" hidden="false" customHeight="false" outlineLevel="0" collapsed="false">
      <c r="A40" s="3" t="s">
        <v>387</v>
      </c>
      <c r="B40" s="3" t="str">
        <f aca="false">IF(COUNTIF(Final_CB_I6_V5!$B$2:$B$834,A40)&gt;=1,"YES","NO")</f>
        <v>YES</v>
      </c>
      <c r="C40" s="3" t="s">
        <v>388</v>
      </c>
      <c r="D40" s="3" t="str">
        <f aca="false">IF(COUNTIF(Final_CB_I6_V5!$C$2:$C$834,C40)&gt;=1,"YES","NO")</f>
        <v>YES</v>
      </c>
      <c r="F40" s="4" t="str">
        <f aca="false">IFERROR(__xludf.dummyfunction("""COMPUTED_VALUE"""),"displays::logs::of::the::behaviour")</f>
        <v>displays::logs::of::the::behaviour</v>
      </c>
      <c r="G40" s="4" t="str">
        <f aca="false">IFERROR(__xludf.dummyfunction("""COMPUTED_VALUE"""),"feature::documentation")</f>
        <v>feature::documentation</v>
      </c>
      <c r="H40" s="4" t="str">
        <f aca="false">IFERROR(__xludf.dummyfunction("""COMPUTED_VALUE"""),"fix::another::merged::(link::review::commit)")</f>
        <v>fix::another::merged::(link::review::commit)</v>
      </c>
    </row>
    <row r="41" customFormat="false" ht="15.75" hidden="false" customHeight="false" outlineLevel="0" collapsed="false">
      <c r="A41" s="3" t="s">
        <v>385</v>
      </c>
      <c r="B41" s="3" t="str">
        <f aca="false">IF(COUNTIF(Final_CB_I6_V5!$B$2:$B$834,A41)&gt;=1,"YES","NO")</f>
        <v>YES</v>
      </c>
      <c r="C41" s="3" t="s">
        <v>389</v>
      </c>
      <c r="D41" s="3" t="str">
        <f aca="false">IF(COUNTIF(Final_CB_I6_V5!$C$2:$C$834,C41)&gt;=1,"YES","NO")</f>
        <v>YES</v>
      </c>
      <c r="F41" s="4" t="str">
        <f aca="false">IFERROR(__xludf.dummyfunction("""COMPUTED_VALUE"""),"examples::of::wrong::behaviour")</f>
        <v>examples::of::wrong::behaviour</v>
      </c>
      <c r="G41" s="4" t="str">
        <f aca="false">IFERROR(__xludf.dummyfunction("""COMPUTED_VALUE"""),"feature::request")</f>
        <v>feature::request</v>
      </c>
      <c r="H41" s="4" t="str">
        <f aca="false">IFERROR(__xludf.dummyfunction("""COMPUTED_VALUE"""),"fix::merged::(link::review::commit)")</f>
        <v>fix::merged::(link::review::commit)</v>
      </c>
    </row>
    <row r="42" customFormat="false" ht="15.75" hidden="false" customHeight="false" outlineLevel="0" collapsed="false">
      <c r="A42" s="3" t="s">
        <v>386</v>
      </c>
      <c r="B42" s="3" t="str">
        <f aca="false">IF(COUNTIF(Final_CB_I6_V5!$B$2:$B$834,A42)&gt;=1,"YES","NO")</f>
        <v>YES</v>
      </c>
      <c r="C42" s="3" t="s">
        <v>39</v>
      </c>
      <c r="D42" s="3" t="str">
        <f aca="false">IF(COUNTIF(Final_CB_I6_V5!$C$2:$C$834,C42)&gt;=1,"YES","NO")</f>
        <v>YES</v>
      </c>
      <c r="F42" s="4" t="str">
        <f aca="false">IFERROR(__xludf.dummyfunction("""COMPUTED_VALUE"""),"examples::of::wrong::behaviour::(in::specific::java::version)")</f>
        <v>examples::of::wrong::behaviour::(in::specific::java::version)</v>
      </c>
      <c r="G42" s="4" t="str">
        <f aca="false">IFERROR(__xludf.dummyfunction("""COMPUTED_VALUE"""),"feature::request::(improvement)")</f>
        <v>feature::request::(improvement)</v>
      </c>
      <c r="H42" s="4" t="str">
        <f aca="false">IFERROR(__xludf.dummyfunction("""COMPUTED_VALUE"""),"fix::merged::(link::review::commit)::not:.main::branch")</f>
        <v>fix::merged::(link::review::commit)::not:.main::branch</v>
      </c>
    </row>
    <row r="43" customFormat="false" ht="15.75" hidden="false" customHeight="false" outlineLevel="0" collapsed="false">
      <c r="A43" s="3" t="s">
        <v>390</v>
      </c>
      <c r="B43" s="3" t="str">
        <f aca="false">IF(COUNTIF(Final_CB_I6_V5!$B$2:$B$834,A43)&gt;=1,"YES","NO")</f>
        <v>YES</v>
      </c>
      <c r="C43" s="3" t="s">
        <v>391</v>
      </c>
      <c r="D43" s="3" t="str">
        <f aca="false">IF(COUNTIF(Final_CB_I6_V5!$C$2:$C$834,C43)&gt;=1,"YES","NO")</f>
        <v>YES</v>
      </c>
      <c r="F43" s="4" t="str">
        <f aca="false">IFERROR(__xludf.dummyfunction("""COMPUTED_VALUE"""),"expected::behaviour")</f>
        <v>expected::behaviour</v>
      </c>
      <c r="G43" s="4" t="str">
        <f aca="false">IFERROR(__xludf.dummyfunction("""COMPUTED_VALUE"""),"fix::merged::(link::review)::related::fix")</f>
        <v>fix::merged::(link::review)::related::fix</v>
      </c>
      <c r="H43" s="4" t="str">
        <f aca="false">IFERROR(__xludf.dummyfunction("""COMPUTED_VALUE"""),"fix::merged::(link::review::commit2)")</f>
        <v>fix::merged::(link::review::commit2)</v>
      </c>
    </row>
    <row r="44" customFormat="false" ht="15.75" hidden="false" customHeight="false" outlineLevel="0" collapsed="false">
      <c r="A44" s="3" t="s">
        <v>388</v>
      </c>
      <c r="B44" s="3" t="str">
        <f aca="false">IF(COUNTIF(Final_CB_I6_V5!$B$2:$B$834,A44)&gt;=1,"YES","NO")</f>
        <v>YES</v>
      </c>
      <c r="C44" s="3" t="s">
        <v>392</v>
      </c>
      <c r="D44" s="3" t="str">
        <f aca="false">IF(COUNTIF(Final_CB_I6_V5!$C$2:$C$834,C44)&gt;=1,"YES","NO")</f>
        <v>YES</v>
      </c>
      <c r="F44" s="4" t="str">
        <f aca="false">IFERROR(__xludf.dummyfunction("""COMPUTED_VALUE"""),"expected::outcome::(functionallities)")</f>
        <v>expected::outcome::(functionallities)</v>
      </c>
      <c r="G44" s="4" t="str">
        <f aca="false">IFERROR(__xludf.dummyfunction("""COMPUTED_VALUE"""),"fix::merged::(link::review1)::related::fix")</f>
        <v>fix::merged::(link::review1)::related::fix</v>
      </c>
      <c r="H44" s="4" t="str">
        <f aca="false">IFERROR(__xludf.dummyfunction("""COMPUTED_VALUE"""),"fix::merged::(link::review::commit2)::not:.main::branch")</f>
        <v>fix::merged::(link::review::commit2)::not:.main::branch</v>
      </c>
    </row>
    <row r="45" customFormat="false" ht="15.75" hidden="false" customHeight="false" outlineLevel="0" collapsed="false">
      <c r="A45" s="3" t="s">
        <v>389</v>
      </c>
      <c r="B45" s="3" t="str">
        <f aca="false">IF(COUNTIF(Final_CB_I6_V5!$B$2:$B$834,A45)&gt;=1,"YES","NO")</f>
        <v>YES</v>
      </c>
      <c r="C45" s="3" t="s">
        <v>393</v>
      </c>
      <c r="D45" s="3" t="str">
        <f aca="false">IF(COUNTIF(Final_CB_I6_V5!$C$2:$C$834,C45)&gt;=1,"YES","NO")</f>
        <v>YES</v>
      </c>
      <c r="F45" s="4" t="str">
        <f aca="false">IFERROR(__xludf.dummyfunction("""COMPUTED_VALUE"""),"expected::outcome::(performance::improvement)")</f>
        <v>expected::outcome::(performance::improvement)</v>
      </c>
      <c r="G45" s="4" t="str">
        <f aca="false">IFERROR(__xludf.dummyfunction("""COMPUTED_VALUE"""),"fix::merged::(link::review2)::not::main::branch")</f>
        <v>fix::merged::(link::review2)::not::main::branch</v>
      </c>
      <c r="H45" s="4" t="str">
        <f aca="false">IFERROR(__xludf.dummyfunction("""COMPUTED_VALUE"""),"fix::merged::(link::review::commit3)")</f>
        <v>fix::merged::(link::review::commit3)</v>
      </c>
    </row>
    <row r="46" customFormat="false" ht="15.75" hidden="false" customHeight="false" outlineLevel="0" collapsed="false">
      <c r="A46" s="3" t="s">
        <v>394</v>
      </c>
      <c r="B46" s="3" t="str">
        <f aca="false">IF(COUNTIF(Final_CB_I6_V5!$B$2:$B$834,A46)&gt;=1,"YES","NO")</f>
        <v>YES</v>
      </c>
      <c r="C46" s="3" t="s">
        <v>48</v>
      </c>
      <c r="D46" s="3" t="str">
        <f aca="false">IF(COUNTIF(Final_CB_I6_V5!$C$2:$C$834,C46)&gt;=1,"YES","NO")</f>
        <v>YES</v>
      </c>
      <c r="F46" s="4" t="str">
        <f aca="false">IFERROR(__xludf.dummyfunction("""COMPUTED_VALUE"""),"feature::description")</f>
        <v>feature::description</v>
      </c>
      <c r="G46" s="4" t="str">
        <f aca="false">IFERROR(__xludf.dummyfunction("""COMPUTED_VALUE"""),"fix::merged::(link::review2)::related::fix")</f>
        <v>fix::merged::(link::review2)::related::fix</v>
      </c>
      <c r="H46" s="4" t="str">
        <f aca="false">IFERROR(__xludf.dummyfunction("""COMPUTED_VALUE"""),"fix::merged::(link::review::commit3)::not:.main::branch")</f>
        <v>fix::merged::(link::review::commit3)::not:.main::branch</v>
      </c>
    </row>
    <row r="47" customFormat="false" ht="15.75" hidden="false" customHeight="false" outlineLevel="0" collapsed="false">
      <c r="A47" s="3" t="s">
        <v>395</v>
      </c>
      <c r="B47" s="3" t="str">
        <f aca="false">IF(COUNTIF(Final_CB_I6_V5!$B$2:$B$834,A47)&gt;=1,"YES","NO")</f>
        <v>YES</v>
      </c>
      <c r="C47" s="3" t="s">
        <v>50</v>
      </c>
      <c r="D47" s="3" t="str">
        <f aca="false">IF(COUNTIF(Final_CB_I6_V5!$C$2:$C$834,C47)&gt;=1,"YES","NO")</f>
        <v>YES</v>
      </c>
      <c r="F47" s="4" t="str">
        <f aca="false">IFERROR(__xludf.dummyfunction("""COMPUTED_VALUE"""),"feature::documentation::link")</f>
        <v>feature::documentation::link</v>
      </c>
      <c r="G47" s="4" t="str">
        <f aca="false">IFERROR(__xludf.dummyfunction("""COMPUTED_VALUE"""),"fix::merged::(link::review3)::not::main::branch")</f>
        <v>fix::merged::(link::review3)::not::main::branch</v>
      </c>
      <c r="H47" s="4" t="str">
        <f aca="false">IFERROR(__xludf.dummyfunction("""COMPUTED_VALUE"""),"fix::merged::(link::review::commit4)")</f>
        <v>fix::merged::(link::review::commit4)</v>
      </c>
    </row>
    <row r="48" customFormat="false" ht="15.75" hidden="false" customHeight="false" outlineLevel="0" collapsed="false">
      <c r="A48" s="3" t="s">
        <v>396</v>
      </c>
      <c r="B48" s="3" t="str">
        <f aca="false">IF(COUNTIF(Final_CB_I6_V5!$B$2:$B$834,A48)&gt;=1,"YES","NO")</f>
        <v>YES</v>
      </c>
      <c r="C48" s="3" t="s">
        <v>397</v>
      </c>
      <c r="D48" s="3" t="str">
        <f aca="false">IF(COUNTIF(Final_CB_I6_V5!$C$2:$C$834,C48)&gt;=1,"YES","NO")</f>
        <v>YES</v>
      </c>
      <c r="F48" s="4" t="str">
        <f aca="false">IFERROR(__xludf.dummyfunction("""COMPUTED_VALUE"""),"feature::freeze::exception::expired")</f>
        <v>feature::freeze::exception::expired</v>
      </c>
      <c r="G48" s="4" t="str">
        <f aca="false">IFERROR(__xludf.dummyfunction("""COMPUTED_VALUE"""),"fix::merged::(link::review4)::related::fix::not::main::branch")</f>
        <v>fix::merged::(link::review4)::related::fix::not::main::branch</v>
      </c>
      <c r="H48" s="4" t="str">
        <f aca="false">IFERROR(__xludf.dummyfunction("""COMPUTED_VALUE"""),"fix::merged::(link::review2::commit2)")</f>
        <v>fix::merged::(link::review2::commit2)</v>
      </c>
    </row>
    <row r="49" customFormat="false" ht="15.75" hidden="false" customHeight="false" outlineLevel="0" collapsed="false">
      <c r="A49" s="3" t="s">
        <v>397</v>
      </c>
      <c r="B49" s="3" t="str">
        <f aca="false">IF(COUNTIF(Final_CB_I6_V5!$B$2:$B$834,A49)&gt;=1,"YES","NO")</f>
        <v>YES</v>
      </c>
      <c r="C49" s="3" t="s">
        <v>398</v>
      </c>
      <c r="D49" s="3" t="str">
        <f aca="false">IF(COUNTIF(Final_CB_I6_V5!$C$2:$C$834,C49)&gt;=1,"YES","NO")</f>
        <v>YES</v>
      </c>
      <c r="F49" s="4" t="str">
        <f aca="false">IFERROR(__xludf.dummyfunction("""COMPUTED_VALUE"""),"fix::merged::(link::review)")</f>
        <v>fix::merged::(link::review)</v>
      </c>
      <c r="G49" s="4" t="str">
        <f aca="false">IFERROR(__xludf.dummyfunction("""COMPUTED_VALUE"""),"fix::merged::(link::review5)")</f>
        <v>fix::merged::(link::review5)</v>
      </c>
      <c r="H49" s="4" t="str">
        <f aca="false">IFERROR(__xludf.dummyfunction("""COMPUTED_VALUE"""),"fix::merged::different::project")</f>
        <v>fix::merged::different::project</v>
      </c>
    </row>
    <row r="50" customFormat="false" ht="15.75" hidden="false" customHeight="false" outlineLevel="0" collapsed="false">
      <c r="A50" s="3" t="s">
        <v>399</v>
      </c>
      <c r="B50" s="3" t="str">
        <f aca="false">IF(COUNTIF(Final_CB_I6_V5!$B$2:$B$834,A50)&gt;=1,"YES","NO")</f>
        <v>YES</v>
      </c>
      <c r="C50" s="3" t="s">
        <v>400</v>
      </c>
      <c r="D50" s="3" t="str">
        <f aca="false">IF(COUNTIF(Final_CB_I6_V5!$C$2:$C$834,C50)&gt;=1,"YES","NO")</f>
        <v>YES</v>
      </c>
      <c r="F50" s="4" t="str">
        <f aca="false">IFERROR(__xludf.dummyfunction("""COMPUTED_VALUE"""),"fix::merged::(link::review)::not::main::branch")</f>
        <v>fix::merged::(link::review)::not::main::branch</v>
      </c>
      <c r="G50" s="4" t="str">
        <f aca="false">IFERROR(__xludf.dummyfunction("""COMPUTED_VALUE"""),"fix::merged::(link::review::1)")</f>
        <v>fix::merged::(link::review::1)</v>
      </c>
      <c r="H50" s="4" t="str">
        <f aca="false">IFERROR(__xludf.dummyfunction("""COMPUTED_VALUE"""),"fix::summary")</f>
        <v>fix::summary</v>
      </c>
    </row>
    <row r="51" customFormat="false" ht="15.75" hidden="false" customHeight="false" outlineLevel="0" collapsed="false">
      <c r="A51" s="3" t="s">
        <v>64</v>
      </c>
      <c r="B51" s="3" t="str">
        <f aca="false">IF(COUNTIF(Final_CB_I6_V5!$B$2:$B$834,A51)&gt;=1,"YES","NO")</f>
        <v>YES</v>
      </c>
      <c r="C51" s="3" t="s">
        <v>401</v>
      </c>
      <c r="D51" s="3" t="str">
        <f aca="false">IF(COUNTIF(Final_CB_I6_V5!$C$2:$C$834,C51)&gt;=1,"YES","NO")</f>
        <v>YES</v>
      </c>
      <c r="F51" s="4" t="str">
        <f aca="false">IFERROR(__xludf.dummyfunction("""COMPUTED_VALUE"""),"fix::merged::(link::review)::related::fix::not::main::branch")</f>
        <v>fix::merged::(link::review)::related::fix::not::main::branch</v>
      </c>
      <c r="G51" s="4" t="str">
        <f aca="false">IFERROR(__xludf.dummyfunction("""COMPUTED_VALUE"""),"fix::merged::(link::review::2)")</f>
        <v>fix::merged::(link::review::2)</v>
      </c>
      <c r="H51" s="4" t="str">
        <f aca="false">IFERROR(__xludf.dummyfunction("""COMPUTED_VALUE"""),"giving::opinion::about::components::of::code::(UUIDS)")</f>
        <v>giving::opinion::about::components::of::code::(UUIDS)</v>
      </c>
    </row>
    <row r="52" customFormat="false" ht="15.75" hidden="false" customHeight="false" outlineLevel="0" collapsed="false">
      <c r="A52" s="3" t="s">
        <v>402</v>
      </c>
      <c r="B52" s="3" t="str">
        <f aca="false">IF(COUNTIF(Final_CB_I6_V5!$B$2:$B$834,A52)&gt;=1,"YES","NO")</f>
        <v>YES</v>
      </c>
      <c r="C52" s="3" t="s">
        <v>402</v>
      </c>
      <c r="D52" s="3" t="str">
        <f aca="false">IF(COUNTIF(Final_CB_I6_V5!$C$2:$C$834,C52)&gt;=1,"YES","NO")</f>
        <v>YES</v>
      </c>
      <c r="F52" s="4" t="str">
        <f aca="false">IFERROR(__xludf.dummyfunction("""COMPUTED_VALUE"""),"impact::of::the::proposed::solution")</f>
        <v>impact::of::the::proposed::solution</v>
      </c>
      <c r="G52" s="4" t="str">
        <f aca="false">IFERROR(__xludf.dummyfunction("""COMPUTED_VALUE"""),"fix::merged::(link::review::3)")</f>
        <v>fix::merged::(link::review::3)</v>
      </c>
      <c r="H52" s="4" t="str">
        <f aca="false">IFERROR(__xludf.dummyfunction("""COMPUTED_VALUE"""),"history::of::the::BP/feature")</f>
        <v>history::of::the::BP/feature</v>
      </c>
    </row>
    <row r="53" customFormat="false" ht="15.75" hidden="false" customHeight="false" outlineLevel="0" collapsed="false">
      <c r="A53" s="3" t="s">
        <v>403</v>
      </c>
      <c r="B53" s="3" t="str">
        <f aca="false">IF(COUNTIF(Final_CB_I6_V5!$B$2:$B$834,A53)&gt;=1,"YES","NO")</f>
        <v>YES</v>
      </c>
      <c r="C53" s="3" t="s">
        <v>403</v>
      </c>
      <c r="D53" s="3" t="str">
        <f aca="false">IF(COUNTIF(Final_CB_I6_V5!$C$2:$C$834,C53)&gt;=1,"YES","NO")</f>
        <v>YES</v>
      </c>
      <c r="F53" s="4" t="str">
        <f aca="false">IFERROR(__xludf.dummyfunction("""COMPUTED_VALUE"""),"informing::bug::already::fixed::(different::branch)")</f>
        <v>informing::bug::already::fixed::(different::branch)</v>
      </c>
      <c r="G53" s="4" t="str">
        <f aca="false">IFERROR(__xludf.dummyfunction("""COMPUTED_VALUE"""),"fix::merged::(link::review::4)")</f>
        <v>fix::merged::(link::review::4)</v>
      </c>
      <c r="H53" s="4" t="str">
        <f aca="false">IFERROR(__xludf.dummyfunction("""COMPUTED_VALUE"""),"indicate::sponsor")</f>
        <v>indicate::sponsor</v>
      </c>
    </row>
    <row r="54" customFormat="false" ht="15.75" hidden="false" customHeight="false" outlineLevel="0" collapsed="false">
      <c r="A54" s="3" t="s">
        <v>404</v>
      </c>
      <c r="B54" s="3" t="str">
        <f aca="false">IF(COUNTIF(Final_CB_I6_V5!$B$2:$B$834,A54)&gt;=1,"YES","NO")</f>
        <v>YES</v>
      </c>
      <c r="C54" s="3" t="s">
        <v>405</v>
      </c>
      <c r="D54" s="3" t="str">
        <f aca="false">IF(COUNTIF(Final_CB_I6_V5!$C$2:$C$834,C54)&gt;=1,"YES","NO")</f>
        <v>YES</v>
      </c>
      <c r="F54" s="4" t="str">
        <f aca="false">IFERROR(__xludf.dummyfunction("""COMPUTED_VALUE"""),"informing::bug::replaced::with::another")</f>
        <v>informing::bug::replaced::with::another</v>
      </c>
      <c r="G54" s="4" t="str">
        <f aca="false">IFERROR(__xludf.dummyfunction("""COMPUTED_VALUE"""),"fix::merged::(link::review::5)")</f>
        <v>fix::merged::(link::review::5)</v>
      </c>
      <c r="H54" s="4" t="str">
        <f aca="false">IFERROR(__xludf.dummyfunction("""COMPUTED_VALUE"""),"informing::a::mistake::in::documention")</f>
        <v>informing::a::mistake::in::documention</v>
      </c>
    </row>
    <row r="55" customFormat="false" ht="15.75" hidden="false" customHeight="false" outlineLevel="0" collapsed="false">
      <c r="A55" s="3" t="s">
        <v>406</v>
      </c>
      <c r="B55" s="3" t="str">
        <f aca="false">IF(COUNTIF(Final_CB_I6_V5!$B$2:$B$834,A55)&gt;=1,"YES","NO")</f>
        <v>YES</v>
      </c>
      <c r="C55" s="3" t="s">
        <v>407</v>
      </c>
      <c r="D55" s="3" t="str">
        <f aca="false">IF(COUNTIF(Final_CB_I6_V5!$C$2:$C$834,C55)&gt;=1,"YES","NO")</f>
        <v>YES</v>
      </c>
      <c r="F55" s="4" t="str">
        <f aca="false">IFERROR(__xludf.dummyfunction("""COMPUTED_VALUE"""),"informing::completness::BP")</f>
        <v>informing::completness::BP</v>
      </c>
      <c r="G55" s="4" t="str">
        <f aca="false">IFERROR(__xludf.dummyfunction("""COMPUTED_VALUE"""),"forwarding::meeting::information")</f>
        <v>forwarding::meeting::information</v>
      </c>
      <c r="H55" s="4" t="str">
        <f aca="false">IFERROR(__xludf.dummyfunction("""COMPUTED_VALUE"""),"informing::completness::feature")</f>
        <v>informing::completness::feature</v>
      </c>
    </row>
    <row r="56" customFormat="false" ht="15.75" hidden="false" customHeight="false" outlineLevel="0" collapsed="false">
      <c r="A56" s="3" t="s">
        <v>405</v>
      </c>
      <c r="B56" s="3" t="str">
        <f aca="false">IF(COUNTIF(Final_CB_I6_V5!$B$2:$B$834,A56)&gt;=1,"YES","NO")</f>
        <v>YES</v>
      </c>
      <c r="C56" s="3" t="s">
        <v>408</v>
      </c>
      <c r="D56" s="3" t="str">
        <f aca="false">IF(COUNTIF(Final_CB_I6_V5!$C$2:$C$834,C56)&gt;=1,"YES","NO")</f>
        <v>YES</v>
      </c>
      <c r="F56" s="4" t="str">
        <f aca="false">IFERROR(__xludf.dummyfunction("""COMPUTED_VALUE"""),"informing::in::favor::(feature::design)")</f>
        <v>informing::in::favor::(feature::design)</v>
      </c>
      <c r="G56" s="4" t="str">
        <f aca="false">IFERROR(__xludf.dummyfunction("""COMPUTED_VALUE"""),"identifying::addressed::elsewhere::(link::review1)")</f>
        <v>identifying::addressed::elsewhere::(link::review1)</v>
      </c>
      <c r="H56" s="4" t="str">
        <f aca="false">IFERROR(__xludf.dummyfunction("""COMPUTED_VALUE"""),"informing::final::solution::design")</f>
        <v>informing::final::solution::design</v>
      </c>
    </row>
    <row r="57" customFormat="false" ht="15.75" hidden="false" customHeight="false" outlineLevel="0" collapsed="false">
      <c r="A57" s="3" t="s">
        <v>407</v>
      </c>
      <c r="B57" s="3" t="str">
        <f aca="false">IF(COUNTIF(Final_CB_I6_V5!$B$2:$B$834,A57)&gt;=1,"YES","NO")</f>
        <v>YES</v>
      </c>
      <c r="C57" s="3" t="s">
        <v>409</v>
      </c>
      <c r="D57" s="3" t="str">
        <f aca="false">IF(COUNTIF(Final_CB_I6_V5!$C$2:$C$834,C57)&gt;=1,"YES","NO")</f>
        <v>YES</v>
      </c>
      <c r="F57" s="4" t="str">
        <f aca="false">IFERROR(__xludf.dummyfunction("""COMPUTED_VALUE"""),"informing::in::favor::(issue::design::+1)")</f>
        <v>informing::in::favor::(issue::design::+1)</v>
      </c>
      <c r="G57" s="4" t="str">
        <f aca="false">IFERROR(__xludf.dummyfunction("""COMPUTED_VALUE"""),"identifying::addressed::elsewhere::(link::review2)")</f>
        <v>identifying::addressed::elsewhere::(link::review2)</v>
      </c>
      <c r="H57" s="4" t="str">
        <f aca="false">IFERROR(__xludf.dummyfunction("""COMPUTED_VALUE"""),"informing::in::favor::(closing::issue::+1)")</f>
        <v>informing::in::favor::(closing::issue::+1)</v>
      </c>
    </row>
    <row r="58" customFormat="false" ht="15.75" hidden="false" customHeight="false" outlineLevel="0" collapsed="false">
      <c r="A58" s="3" t="s">
        <v>408</v>
      </c>
      <c r="B58" s="3" t="str">
        <f aca="false">IF(COUNTIF(Final_CB_I6_V5!$B$2:$B$834,A58)&gt;=1,"YES","NO")</f>
        <v>YES</v>
      </c>
      <c r="C58" s="3" t="s">
        <v>410</v>
      </c>
      <c r="D58" s="3" t="str">
        <f aca="false">IF(COUNTIF(Final_CB_I6_V5!$C$2:$C$834,C58)&gt;=1,"YES","NO")</f>
        <v>YES</v>
      </c>
      <c r="F58" s="4" t="str">
        <f aca="false">IFERROR(__xludf.dummyfunction("""COMPUTED_VALUE"""),"informing::lgtm::(+1)")</f>
        <v>informing::lgtm::(+1)</v>
      </c>
      <c r="G58" s="4" t="str">
        <f aca="false">IFERROR(__xludf.dummyfunction("""COMPUTED_VALUE"""),"implemented::elsewhere")</f>
        <v>implemented::elsewhere</v>
      </c>
      <c r="H58" s="4" t="str">
        <f aca="false">IFERROR(__xludf.dummyfunction("""COMPUTED_VALUE"""),"informing::in::favor::(feature::design::change)")</f>
        <v>informing::in::favor::(feature::design::change)</v>
      </c>
    </row>
    <row r="59" customFormat="false" ht="15.75" hidden="false" customHeight="false" outlineLevel="0" collapsed="false">
      <c r="A59" s="3" t="s">
        <v>411</v>
      </c>
      <c r="B59" s="3" t="str">
        <f aca="false">IF(COUNTIF(Final_CB_I6_V5!$B$2:$B$834,A59)&gt;=1,"YES","NO")</f>
        <v>YES</v>
      </c>
      <c r="C59" s="3" t="s">
        <v>412</v>
      </c>
      <c r="D59" s="3" t="str">
        <f aca="false">IF(COUNTIF(Final_CB_I6_V5!$C$2:$C$834,C59)&gt;=1,"YES","NO")</f>
        <v>YES</v>
      </c>
      <c r="F59" s="4" t="str">
        <f aca="false">IFERROR(__xludf.dummyfunction("""COMPUTED_VALUE"""),"informing::opening::another::issue::(related::feature)")</f>
        <v>informing::opening::another::issue::(related::feature)</v>
      </c>
      <c r="G59" s="4" t="str">
        <f aca="false">IFERROR(__xludf.dummyfunction("""COMPUTED_VALUE"""),"importance::of::issue::(high::importance)")</f>
        <v>importance::of::issue::(high::importance)</v>
      </c>
      <c r="H59" s="4" t="str">
        <f aca="false">IFERROR(__xludf.dummyfunction("""COMPUTED_VALUE"""),"informing::in::favor::(solution::design)")</f>
        <v>informing::in::favor::(solution::design)</v>
      </c>
    </row>
    <row r="60" customFormat="false" ht="15.75" hidden="false" customHeight="false" outlineLevel="0" collapsed="false">
      <c r="A60" s="3" t="s">
        <v>413</v>
      </c>
      <c r="B60" s="3" t="str">
        <f aca="false">IF(COUNTIF(Final_CB_I6_V5!$B$2:$B$834,A60)&gt;=1,"YES","NO")</f>
        <v>YES</v>
      </c>
      <c r="C60" s="3" t="s">
        <v>414</v>
      </c>
      <c r="D60" s="3" t="str">
        <f aca="false">IF(COUNTIF(Final_CB_I6_V5!$C$2:$C$834,C60)&gt;=1,"YES","NO")</f>
        <v>YES</v>
      </c>
      <c r="F60" s="4" t="str">
        <f aca="false">IFERROR(__xludf.dummyfunction("""COMPUTED_VALUE"""),"informing::potential::bug:.found")</f>
        <v>informing::potential::bug:.found</v>
      </c>
      <c r="G60" s="4" t="str">
        <f aca="false">IFERROR(__xludf.dummyfunction("""COMPUTED_VALUE"""),"improvement::request")</f>
        <v>improvement::request</v>
      </c>
      <c r="H60" s="4" t="str">
        <f aca="false">IFERROR(__xludf.dummyfunction("""COMPUTED_VALUE"""),"informing::missmatch::nbetween::code:.and::documentation")</f>
        <v>informing::missmatch::nbetween::code:.and::documentation</v>
      </c>
    </row>
    <row r="61" customFormat="false" ht="15.75" hidden="false" customHeight="false" outlineLevel="0" collapsed="false">
      <c r="A61" s="3" t="s">
        <v>409</v>
      </c>
      <c r="B61" s="3" t="str">
        <f aca="false">IF(COUNTIF(Final_CB_I6_V5!$B$2:$B$834,A61)&gt;=1,"YES","NO")</f>
        <v>YES</v>
      </c>
      <c r="C61" s="3" t="s">
        <v>415</v>
      </c>
      <c r="D61" s="3" t="str">
        <f aca="false">IF(COUNTIF(Final_CB_I6_V5!$C$2:$C$834,C61)&gt;=1,"YES","NO")</f>
        <v>YES</v>
      </c>
      <c r="F61" s="4" t="str">
        <f aca="false">IFERROR(__xludf.dummyfunction("""COMPUTED_VALUE"""),"informing::PR::opened")</f>
        <v>informing::PR::opened</v>
      </c>
      <c r="G61" s="4" t="str">
        <f aca="false">IFERROR(__xludf.dummyfunction("""COMPUTED_VALUE"""),"informing::further::requests::should::be::new::issues")</f>
        <v>informing::further::requests::should::be::new::issues</v>
      </c>
      <c r="H61" s="4" t="str">
        <f aca="false">IFERROR(__xludf.dummyfunction("""COMPUTED_VALUE"""),"informing::opinion::(not::common)")</f>
        <v>informing::opinion::(not::common)</v>
      </c>
    </row>
    <row r="62" customFormat="false" ht="15.75" hidden="false" customHeight="false" outlineLevel="0" collapsed="false">
      <c r="A62" s="3" t="s">
        <v>410</v>
      </c>
      <c r="B62" s="3" t="str">
        <f aca="false">IF(COUNTIF(Final_CB_I6_V5!$B$2:$B$834,A62)&gt;=1,"YES","NO")</f>
        <v>YES</v>
      </c>
      <c r="C62" s="3" t="s">
        <v>416</v>
      </c>
      <c r="D62" s="3" t="str">
        <f aca="false">IF(COUNTIF(Final_CB_I6_V5!$C$2:$C$834,C62)&gt;=1,"YES","NO")</f>
        <v>YES</v>
      </c>
      <c r="F62" s="4" t="str">
        <f aca="false">IFERROR(__xludf.dummyfunction("""COMPUTED_VALUE"""),"informing::scope::of::this::issue::(limited::to::functional::design)")</f>
        <v>informing::scope::of::this::issue::(limited::to::functional::design)</v>
      </c>
      <c r="G62" s="4" t="str">
        <f aca="false">IFERROR(__xludf.dummyfunction("""COMPUTED_VALUE"""),"informing::in::favor::(deferred::to::later::release::+1)")</f>
        <v>informing::in::favor::(deferred::to::later::release::+1)</v>
      </c>
      <c r="H62" s="4" t="str">
        <f aca="false">IFERROR(__xludf.dummyfunction("""COMPUTED_VALUE"""),"informing::potential::bug:.found::closed")</f>
        <v>informing::potential::bug:.found::closed</v>
      </c>
    </row>
    <row r="63" customFormat="false" ht="15.75" hidden="false" customHeight="false" outlineLevel="0" collapsed="false">
      <c r="A63" s="3" t="s">
        <v>417</v>
      </c>
      <c r="B63" s="3" t="str">
        <f aca="false">IF(COUNTIF(Final_CB_I6_V5!$B$2:$B$834,A63)&gt;=1,"YES","NO")</f>
        <v>YES</v>
      </c>
      <c r="C63" s="3" t="s">
        <v>418</v>
      </c>
      <c r="D63" s="3" t="str">
        <f aca="false">IF(COUNTIF(Final_CB_I6_V5!$C$2:$C$834,C63)&gt;=1,"YES","NO")</f>
        <v>YES</v>
      </c>
      <c r="F63" s="4" t="str">
        <f aca="false">IFERROR(__xludf.dummyfunction("""COMPUTED_VALUE"""),"informing::should::be::discussed::on::mailinglist")</f>
        <v>informing::should::be::discussed::on::mailinglist</v>
      </c>
      <c r="G63" s="4" t="str">
        <f aca="false">IFERROR(__xludf.dummyfunction("""COMPUTED_VALUE"""),"informing::in::favor::(documentation)")</f>
        <v>informing::in::favor::(documentation)</v>
      </c>
      <c r="H63" s="4" t="str">
        <f aca="false">IFERROR(__xludf.dummyfunction("""COMPUTED_VALUE"""),"instructions::current::release::cycle")</f>
        <v>instructions::current::release::cycle</v>
      </c>
    </row>
    <row r="64" customFormat="false" ht="15.75" hidden="false" customHeight="false" outlineLevel="0" collapsed="false">
      <c r="A64" s="3" t="s">
        <v>419</v>
      </c>
      <c r="B64" s="3" t="str">
        <f aca="false">IF(COUNTIF(Final_CB_I6_V5!$B$2:$B$834,A64)&gt;=1,"YES","NO")</f>
        <v>YES</v>
      </c>
      <c r="C64" s="3" t="s">
        <v>420</v>
      </c>
      <c r="D64" s="3" t="str">
        <f aca="false">IF(COUNTIF(Final_CB_I6_V5!$C$2:$C$834,C64)&gt;=1,"YES","NO")</f>
        <v>YES</v>
      </c>
      <c r="F64" s="4" t="str">
        <f aca="false">IFERROR(__xludf.dummyfunction("""COMPUTED_VALUE"""),"issue::closed::(revision::hash)")</f>
        <v>issue::closed::(revision::hash)</v>
      </c>
      <c r="G64" s="4" t="str">
        <f aca="false">IFERROR(__xludf.dummyfunction("""COMPUTED_VALUE"""),"informing::oppinion::(task::is::out::of::the::ordinary)")</f>
        <v>informing::oppinion::(task::is::out::of::the::ordinary)</v>
      </c>
      <c r="H64" s="4" t="str">
        <f aca="false">IFERROR(__xludf.dummyfunction("""COMPUTED_VALUE"""),"instructions::next::release::cycle")</f>
        <v>instructions::next::release::cycle</v>
      </c>
    </row>
    <row r="65" customFormat="false" ht="15.75" hidden="false" customHeight="false" outlineLevel="0" collapsed="false">
      <c r="A65" s="3" t="s">
        <v>414</v>
      </c>
      <c r="B65" s="3" t="str">
        <f aca="false">IF(COUNTIF(Final_CB_I6_V5!$B$2:$B$834,A65)&gt;=1,"YES","NO")</f>
        <v>YES</v>
      </c>
      <c r="C65" s="3" t="s">
        <v>421</v>
      </c>
      <c r="D65" s="3" t="str">
        <f aca="false">IF(COUNTIF(Final_CB_I6_V5!$C$2:$C$834,C65)&gt;=1,"YES","NO")</f>
        <v>YES</v>
      </c>
      <c r="F65" s="4" t="str">
        <f aca="false">IFERROR(__xludf.dummyfunction("""COMPUTED_VALUE"""),"key::concepts::and::terminology::of::issue")</f>
        <v>key::concepts::and::terminology::of::issue</v>
      </c>
      <c r="G65" s="4" t="str">
        <f aca="false">IFERROR(__xludf.dummyfunction("""COMPUTED_VALUE"""),"link::related::review")</f>
        <v>link::related::review</v>
      </c>
      <c r="H65" s="4" t="str">
        <f aca="false">IFERROR(__xludf.dummyfunction("""COMPUTED_VALUE"""),"intention::to::ticket::re::opening")</f>
        <v>intention::to::ticket::re::opening</v>
      </c>
    </row>
    <row r="66" customFormat="false" ht="15.75" hidden="false" customHeight="false" outlineLevel="0" collapsed="false">
      <c r="A66" s="3" t="s">
        <v>416</v>
      </c>
      <c r="B66" s="3" t="str">
        <f aca="false">IF(COUNTIF(Final_CB_I6_V5!$B$2:$B$834,A66)&gt;=1,"YES","NO")</f>
        <v>YES</v>
      </c>
      <c r="C66" s="3" t="s">
        <v>422</v>
      </c>
      <c r="D66" s="3" t="str">
        <f aca="false">IF(COUNTIF(Final_CB_I6_V5!$C$2:$C$834,C66)&gt;=1,"YES","NO")</f>
        <v>YES</v>
      </c>
      <c r="F66" s="4" t="str">
        <f aca="false">IFERROR(__xludf.dummyfunction("""COMPUTED_VALUE"""),"link::related::issue")</f>
        <v>link::related::issue</v>
      </c>
      <c r="G66" s="4" t="str">
        <f aca="false">IFERROR(__xludf.dummyfunction("""COMPUTED_VALUE"""),"link::review")</f>
        <v>link::review</v>
      </c>
      <c r="H66" s="4" t="str">
        <f aca="false">IFERROR(__xludf.dummyfunction("""COMPUTED_VALUE"""),"join::the::fix::of::the::bug::with::a::broader::fix")</f>
        <v>join::the::fix::of::the::bug::with::a::broader::fix</v>
      </c>
    </row>
    <row r="67" customFormat="false" ht="15.75" hidden="false" customHeight="false" outlineLevel="0" collapsed="false">
      <c r="A67" s="3" t="s">
        <v>420</v>
      </c>
      <c r="B67" s="3" t="str">
        <f aca="false">IF(COUNTIF(Final_CB_I6_V5!$B$2:$B$834,A67)&gt;=1,"YES","NO")</f>
        <v>YES</v>
      </c>
      <c r="C67" s="3" t="s">
        <v>78</v>
      </c>
      <c r="D67" s="3" t="str">
        <f aca="false">IF(COUNTIF(Final_CB_I6_V5!$C$2:$C$834,C67)&gt;=1,"YES","NO")</f>
        <v>YES</v>
      </c>
      <c r="F67" s="4" t="str">
        <f aca="false">IFERROR(__xludf.dummyfunction("""COMPUTED_VALUE"""),"merge::sync::notification")</f>
        <v>merge::sync::notification</v>
      </c>
      <c r="G67" s="4" t="str">
        <f aca="false">IFERROR(__xludf.dummyfunction("""COMPUTED_VALUE"""),"link::review::(review2)")</f>
        <v>link::review::(review2)</v>
      </c>
      <c r="H67" s="4" t="str">
        <f aca="false">IFERROR(__xludf.dummyfunction("""COMPUTED_VALUE"""),"link::repository::forged::project")</f>
        <v>link::repository::forged::project</v>
      </c>
    </row>
    <row r="68" customFormat="false" ht="15.75" hidden="false" customHeight="false" outlineLevel="0" collapsed="false">
      <c r="A68" s="3" t="s">
        <v>422</v>
      </c>
      <c r="B68" s="3" t="str">
        <f aca="false">IF(COUNTIF(Final_CB_I6_V5!$B$2:$B$834,A68)&gt;=1,"YES","NO")</f>
        <v>YES</v>
      </c>
      <c r="C68" s="3" t="s">
        <v>80</v>
      </c>
      <c r="D68" s="3" t="str">
        <f aca="false">IF(COUNTIF(Final_CB_I6_V5!$C$2:$C$834,C68)&gt;=1,"YES","NO")</f>
        <v>YES</v>
      </c>
      <c r="F68" s="4" t="str">
        <f aca="false">IFERROR(__xludf.dummyfunction("""COMPUTED_VALUE"""),"missing::documentation")</f>
        <v>missing::documentation</v>
      </c>
      <c r="G68" s="4" t="str">
        <f aca="false">IFERROR(__xludf.dummyfunction("""COMPUTED_VALUE"""),"marking::code::as::abandoned")</f>
        <v>marking::code::as::abandoned</v>
      </c>
      <c r="H68" s="4" t="str">
        <f aca="false">IFERROR(__xludf.dummyfunction("""COMPUTED_VALUE"""),"list::remaining::patches::not::closed::in::the::development::cycle")</f>
        <v>list::remaining::patches::not::closed::in::the::development::cycle</v>
      </c>
    </row>
    <row r="69" customFormat="false" ht="15.75" hidden="false" customHeight="false" outlineLevel="0" collapsed="false">
      <c r="A69" s="3" t="s">
        <v>80</v>
      </c>
      <c r="B69" s="3" t="str">
        <f aca="false">IF(COUNTIF(Final_CB_I6_V5!$B$2:$B$834,A69)&gt;=1,"YES","NO")</f>
        <v>YES</v>
      </c>
      <c r="C69" s="3" t="s">
        <v>81</v>
      </c>
      <c r="D69" s="3" t="str">
        <f aca="false">IF(COUNTIF(Final_CB_I6_V5!$C$2:$C$834,C69)&gt;=1,"YES","NO")</f>
        <v>YES</v>
      </c>
      <c r="F69" s="4" t="str">
        <f aca="false">IFERROR(__xludf.dummyfunction("""COMPUTED_VALUE"""),"missing::feature")</f>
        <v>missing::feature</v>
      </c>
      <c r="G69" s="4" t="str">
        <f aca="false">IFERROR(__xludf.dummyfunction("""COMPUTED_VALUE"""),"merge::of::unknown::review::(link::review3)")</f>
        <v>merge::of::unknown::review::(link::review3)</v>
      </c>
      <c r="H69" s="4" t="str">
        <f aca="false">IFERROR(__xludf.dummyfunction("""COMPUTED_VALUE"""),"merged::units::of::work")</f>
        <v>merged::units::of::work</v>
      </c>
    </row>
    <row r="70" customFormat="false" ht="15.75" hidden="false" customHeight="false" outlineLevel="0" collapsed="false">
      <c r="A70" s="3" t="s">
        <v>81</v>
      </c>
      <c r="B70" s="3" t="str">
        <f aca="false">IF(COUNTIF(Final_CB_I6_V5!$B$2:$B$834,A70)&gt;=1,"YES","NO")</f>
        <v>YES</v>
      </c>
      <c r="C70" s="3" t="s">
        <v>423</v>
      </c>
      <c r="D70" s="3" t="str">
        <f aca="false">IF(COUNTIF(Final_CB_I6_V5!$C$2:$C$834,C70)&gt;=1,"YES","NO")</f>
        <v>YES</v>
      </c>
      <c r="F70" s="4" t="str">
        <f aca="false">IFERROR(__xludf.dummyfunction("""COMPUTED_VALUE"""),"proposal::change::solution::design")</f>
        <v>proposal::change::solution::design</v>
      </c>
      <c r="G70" s="4" t="str">
        <f aca="false">IFERROR(__xludf.dummyfunction("""COMPUTED_VALUE"""),"merge::of::unknown::review::(link::review5)")</f>
        <v>merge::of::unknown::review::(link::review5)</v>
      </c>
      <c r="H70" s="4" t="str">
        <f aca="false">IFERROR(__xludf.dummyfunction("""COMPUTED_VALUE"""),"not::meeting::deadline")</f>
        <v>not::meeting::deadline</v>
      </c>
    </row>
    <row r="71" customFormat="false" ht="15.75" hidden="false" customHeight="false" outlineLevel="0" collapsed="false">
      <c r="A71" s="3" t="s">
        <v>424</v>
      </c>
      <c r="B71" s="3" t="str">
        <f aca="false">IF(COUNTIF(Final_CB_I6_V5!$B$2:$B$834,A71)&gt;=1,"YES","NO")</f>
        <v>YES</v>
      </c>
      <c r="C71" s="3" t="s">
        <v>425</v>
      </c>
      <c r="D71" s="3" t="str">
        <f aca="false">IF(COUNTIF(Final_CB_I6_V5!$C$2:$C$834,C71)&gt;=1,"YES","NO")</f>
        <v>YES</v>
      </c>
      <c r="F71" s="4" t="str">
        <f aca="false">IFERROR(__xludf.dummyfunction("""COMPUTED_VALUE"""),"proposal::change::solution::design::(minor)1")</f>
        <v>proposal::change::solution::design::(minor)1</v>
      </c>
      <c r="G71" s="4" t="str">
        <f aca="false">IFERROR(__xludf.dummyfunction("""COMPUTED_VALUE"""),"new::blueprint::for::remaining::patches")</f>
        <v>new::blueprint::for::remaining::patches</v>
      </c>
      <c r="H71" s="4" t="str">
        <f aca="false">IFERROR(__xludf.dummyfunction("""COMPUTED_VALUE"""),"priority::justification")</f>
        <v>priority::justification</v>
      </c>
    </row>
    <row r="72" customFormat="false" ht="15.75" hidden="false" customHeight="false" outlineLevel="0" collapsed="false">
      <c r="A72" s="3" t="s">
        <v>426</v>
      </c>
      <c r="B72" s="3" t="str">
        <f aca="false">IF(COUNTIF(Final_CB_I6_V5!$B$2:$B$834,A72)&gt;=1,"YES","NO")</f>
        <v>YES</v>
      </c>
      <c r="C72" s="3" t="s">
        <v>427</v>
      </c>
      <c r="D72" s="3" t="str">
        <f aca="false">IF(COUNTIF(Final_CB_I6_V5!$C$2:$C$834,C72)&gt;=1,"YES","NO")</f>
        <v>YES</v>
      </c>
      <c r="F72" s="4" t="str">
        <f aca="false">IFERROR(__xludf.dummyfunction("""COMPUTED_VALUE"""),"proposal::change::solution::design::(minor)2")</f>
        <v>proposal::change::solution::design::(minor)2</v>
      </c>
      <c r="G72" s="4" t="str">
        <f aca="false">IFERROR(__xludf.dummyfunction("""COMPUTED_VALUE"""),"no::backporting::(feature::only::in::next::version)")</f>
        <v>no::backporting::(feature::only::in::next::version)</v>
      </c>
      <c r="H72" s="4" t="str">
        <f aca="false">IFERROR(__xludf.dummyfunction("""COMPUTED_VALUE"""),"proposal::change::solution::design::(minor)4")</f>
        <v>proposal::change::solution::design::(minor)4</v>
      </c>
    </row>
    <row r="73" customFormat="false" ht="15.75" hidden="false" customHeight="false" outlineLevel="0" collapsed="false">
      <c r="A73" s="3" t="s">
        <v>425</v>
      </c>
      <c r="B73" s="3" t="str">
        <f aca="false">IF(COUNTIF(Final_CB_I6_V5!$B$2:$B$834,A73)&gt;=1,"YES","NO")</f>
        <v>YES</v>
      </c>
      <c r="C73" s="3" t="s">
        <v>428</v>
      </c>
      <c r="D73" s="3" t="str">
        <f aca="false">IF(COUNTIF(Final_CB_I6_V5!$C$2:$C$834,C73)&gt;=1,"YES","NO")</f>
        <v>YES</v>
      </c>
      <c r="F73" s="4" t="str">
        <f aca="false">IFERROR(__xludf.dummyfunction("""COMPUTED_VALUE"""),"proposal::change::solution::design::(minor)3")</f>
        <v>proposal::change::solution::design::(minor)3</v>
      </c>
      <c r="G73" s="4" t="str">
        <f aca="false">IFERROR(__xludf.dummyfunction("""COMPUTED_VALUE"""),"not::yet::approved")</f>
        <v>not::yet::approved</v>
      </c>
      <c r="H73" s="4" t="str">
        <f aca="false">IFERROR(__xludf.dummyfunction("""COMPUTED_VALUE"""),"proposal::of::a::possible::fix::(explanation)::related::project")</f>
        <v>proposal::of::a::possible::fix::(explanation)::related::project</v>
      </c>
    </row>
    <row r="74" customFormat="false" ht="15.75" hidden="false" customHeight="false" outlineLevel="0" collapsed="false">
      <c r="A74" s="3" t="s">
        <v>427</v>
      </c>
      <c r="B74" s="3" t="str">
        <f aca="false">IF(COUNTIF(Final_CB_I6_V5!$B$2:$B$834,A74)&gt;=1,"YES","NO")</f>
        <v>YES</v>
      </c>
      <c r="C74" s="3" t="s">
        <v>429</v>
      </c>
      <c r="D74" s="3" t="str">
        <f aca="false">IF(COUNTIF(Final_CB_I6_V5!$C$2:$C$834,C74)&gt;=1,"YES","NO")</f>
        <v>YES</v>
      </c>
      <c r="F74" s="4" t="str">
        <f aca="false">IFERROR(__xludf.dummyfunction("""COMPUTED_VALUE"""),"proposal::of::a::possible::fix::(code::in::text)")</f>
        <v>proposal::of::a::possible::fix::(code::in::text)</v>
      </c>
      <c r="G74" s="4" t="str">
        <f aca="false">IFERROR(__xludf.dummyfunction("""COMPUTED_VALUE"""),"objection::closing::issue")</f>
        <v>objection::closing::issue</v>
      </c>
      <c r="H74" s="4" t="str">
        <f aca="false">IFERROR(__xludf.dummyfunction("""COMPUTED_VALUE"""),"proposes::workaround::to::expected::functionallity::(code::in::text)")</f>
        <v>proposes::workaround::to::expected::functionallity::(code::in::text)</v>
      </c>
    </row>
    <row r="75" customFormat="false" ht="15.75" hidden="false" customHeight="false" outlineLevel="0" collapsed="false">
      <c r="A75" s="3" t="s">
        <v>90</v>
      </c>
      <c r="B75" s="3" t="str">
        <f aca="false">IF(COUNTIF(Final_CB_I6_V5!$B$2:$B$834,A75)&gt;=1,"YES","NO")</f>
        <v>YES</v>
      </c>
      <c r="C75" s="3" t="s">
        <v>90</v>
      </c>
      <c r="D75" s="3" t="str">
        <f aca="false">IF(COUNTIF(Final_CB_I6_V5!$C$2:$C$834,C75)&gt;=1,"YES","NO")</f>
        <v>YES</v>
      </c>
      <c r="F75" s="4" t="str">
        <f aca="false">IFERROR(__xludf.dummyfunction("""COMPUTED_VALUE"""),"proposal::of::a::possible::fix::(explanation)")</f>
        <v>proposal::of::a::possible::fix::(explanation)</v>
      </c>
      <c r="G75" s="4" t="str">
        <f aca="false">IFERROR(__xludf.dummyfunction("""COMPUTED_VALUE"""),"objection::proposal::of::possible::solution")</f>
        <v>objection::proposal::of::possible::solution</v>
      </c>
      <c r="H75" s="4" t="str">
        <f aca="false">IFERROR(__xludf.dummyfunction("""COMPUTED_VALUE"""),"proposes::workaround::to::expected::functionallity::(link)")</f>
        <v>proposes::workaround::to::expected::functionallity::(link)</v>
      </c>
    </row>
    <row r="76" customFormat="false" ht="15.75" hidden="false" customHeight="false" outlineLevel="0" collapsed="false">
      <c r="A76" s="3" t="s">
        <v>430</v>
      </c>
      <c r="B76" s="3" t="str">
        <f aca="false">IF(COUNTIF(Final_CB_I6_V5!$B$2:$B$834,A76)&gt;=1,"YES","NO")</f>
        <v>YES</v>
      </c>
      <c r="C76" s="3" t="s">
        <v>431</v>
      </c>
      <c r="D76" s="3" t="str">
        <f aca="false">IF(COUNTIF(Final_CB_I6_V5!$C$2:$C$834,C76)&gt;=1,"YES","NO")</f>
        <v>YES</v>
      </c>
      <c r="F76" s="4" t="str">
        <f aca="false">IFERROR(__xludf.dummyfunction("""COMPUTED_VALUE"""),"proposal::of::a::possible::fix::(link::review)")</f>
        <v>proposal::of::a::possible::fix::(link::review)</v>
      </c>
      <c r="G76" s="4" t="str">
        <f aca="false">IFERROR(__xludf.dummyfunction("""COMPUTED_VALUE"""),"outdated::behaviour")</f>
        <v>outdated::behaviour</v>
      </c>
      <c r="H76" s="4" t="str">
        <f aca="false">IFERROR(__xludf.dummyfunction("""COMPUTED_VALUE"""),"providing::claarification::about::availability::feature")</f>
        <v>providing::claarification::about::availability::feature</v>
      </c>
    </row>
    <row r="77" customFormat="false" ht="15.75" hidden="false" customHeight="false" outlineLevel="0" collapsed="false">
      <c r="A77" s="3" t="s">
        <v>432</v>
      </c>
      <c r="B77" s="3" t="str">
        <f aca="false">IF(COUNTIF(Final_CB_I6_V5!$B$2:$B$834,A77)&gt;=1,"YES","NO")</f>
        <v>YES</v>
      </c>
      <c r="C77" s="3" t="s">
        <v>433</v>
      </c>
      <c r="D77" s="3" t="str">
        <f aca="false">IF(COUNTIF(Final_CB_I6_V5!$C$2:$C$834,C77)&gt;=1,"YES","NO")</f>
        <v>YES</v>
      </c>
      <c r="F77" s="4" t="str">
        <f aca="false">IFERROR(__xludf.dummyfunction("""COMPUTED_VALUE"""),"proposal::of::a::possible::fix::(link::review)::not::main::branch")</f>
        <v>proposal::of::a::possible::fix::(link::review)::not::main::branch</v>
      </c>
      <c r="G77" s="4" t="str">
        <f aca="false">IFERROR(__xludf.dummyfunction("""COMPUTED_VALUE"""),"partial::implementation")</f>
        <v>partial::implementation</v>
      </c>
      <c r="H77" s="4" t="str">
        <f aca="false">IFERROR(__xludf.dummyfunction("""COMPUTED_VALUE"""),"providing::clarification::about::availability::feature")</f>
        <v>providing::clarification::about::availability::feature</v>
      </c>
    </row>
    <row r="78" customFormat="false" ht="15.75" hidden="false" customHeight="false" outlineLevel="0" collapsed="false">
      <c r="A78" s="3" t="s">
        <v>434</v>
      </c>
      <c r="B78" s="3" t="str">
        <f aca="false">IF(COUNTIF(Final_CB_I6_V5!$B$2:$B$834,A78)&gt;=1,"YES","NO")</f>
        <v>YES</v>
      </c>
      <c r="C78" s="3" t="s">
        <v>432</v>
      </c>
      <c r="D78" s="3" t="str">
        <f aca="false">IF(COUNTIF(Final_CB_I6_V5!$C$2:$C$834,C78)&gt;=1,"YES","NO")</f>
        <v>YES</v>
      </c>
      <c r="F78" s="4" t="str">
        <f aca="false">IFERROR(__xludf.dummyfunction("""COMPUTED_VALUE"""),"proposal::of::a::possible::fix::(link::review1)")</f>
        <v>proposal::of::a::possible::fix::(link::review1)</v>
      </c>
      <c r="G78" s="4" t="str">
        <f aca="false">IFERROR(__xludf.dummyfunction("""COMPUTED_VALUE"""),"partially::deferred::to::later::release1")</f>
        <v>partially::deferred::to::later::release1</v>
      </c>
      <c r="H78" s="4" t="str">
        <f aca="false">IFERROR(__xludf.dummyfunction("""COMPUTED_VALUE"""),"providing::clarification::about::current::implementation")</f>
        <v>providing::clarification::about::current::implementation</v>
      </c>
    </row>
    <row r="79" customFormat="false" ht="15.75" hidden="false" customHeight="false" outlineLevel="0" collapsed="false">
      <c r="A79" s="3" t="s">
        <v>435</v>
      </c>
      <c r="B79" s="3" t="str">
        <f aca="false">IF(COUNTIF(Final_CB_I6_V5!$B$2:$B$834,A79)&gt;=1,"YES","NO")</f>
        <v>YES</v>
      </c>
      <c r="C79" s="3" t="s">
        <v>436</v>
      </c>
      <c r="D79" s="3" t="str">
        <f aca="false">IF(COUNTIF(Final_CB_I6_V5!$C$2:$C$834,C79)&gt;=1,"YES","NO")</f>
        <v>YES</v>
      </c>
      <c r="F79" s="4" t="str">
        <f aca="false">IFERROR(__xludf.dummyfunction("""COMPUTED_VALUE"""),"proposal::of::a::possible::fix::(link::review2)")</f>
        <v>proposal::of::a::possible::fix::(link::review2)</v>
      </c>
      <c r="G79" s="4" t="str">
        <f aca="false">IFERROR(__xludf.dummyfunction("""COMPUTED_VALUE"""),"partially::deferred::to::later::release2")</f>
        <v>partially::deferred::to::later::release2</v>
      </c>
      <c r="H79" s="4" t="str">
        <f aca="false">IFERROR(__xludf.dummyfunction("""COMPUTED_VALUE"""),"providing::clarification::documentation::(issue)")</f>
        <v>providing::clarification::documentation::(issue)</v>
      </c>
    </row>
    <row r="80" customFormat="false" ht="15.75" hidden="false" customHeight="false" outlineLevel="0" collapsed="false">
      <c r="A80" s="3" t="s">
        <v>437</v>
      </c>
      <c r="B80" s="3" t="str">
        <f aca="false">IF(COUNTIF(Final_CB_I6_V5!$B$2:$B$834,A80)&gt;=1,"YES","NO")</f>
        <v>YES</v>
      </c>
      <c r="C80" s="3" t="s">
        <v>434</v>
      </c>
      <c r="D80" s="3" t="str">
        <f aca="false">IF(COUNTIF(Final_CB_I6_V5!$C$2:$C$834,C80)&gt;=1,"YES","NO")</f>
        <v>YES</v>
      </c>
      <c r="F80" s="4" t="str">
        <f aca="false">IFERROR(__xludf.dummyfunction("""COMPUTED_VALUE"""),"proposal::of::a::possible::fix::(link::review2)::not::main::branch")</f>
        <v>proposal::of::a::possible::fix::(link::review2)::not::main::branch</v>
      </c>
      <c r="G80" s="4" t="str">
        <f aca="false">IFERROR(__xludf.dummyfunction("""COMPUTED_VALUE"""),"points::out::inconsistent::behaviour")</f>
        <v>points::out::inconsistent::behaviour</v>
      </c>
      <c r="H80" s="4" t="str">
        <f aca="false">IFERROR(__xludf.dummyfunction("""COMPUTED_VALUE"""),"providing::clarification::documentation::(where)")</f>
        <v>providing::clarification::documentation::(where)</v>
      </c>
    </row>
    <row r="81" customFormat="false" ht="15.75" hidden="false" customHeight="false" outlineLevel="0" collapsed="false">
      <c r="A81" s="3" t="s">
        <v>438</v>
      </c>
      <c r="B81" s="3" t="str">
        <f aca="false">IF(COUNTIF(Final_CB_I6_V5!$B$2:$B$834,A81)&gt;=1,"YES","NO")</f>
        <v>YES</v>
      </c>
      <c r="C81" s="3" t="s">
        <v>439</v>
      </c>
      <c r="D81" s="3" t="str">
        <f aca="false">IF(COUNTIF(Final_CB_I6_V5!$C$2:$C$834,C81)&gt;=1,"YES","NO")</f>
        <v>YES</v>
      </c>
      <c r="F81" s="4" t="str">
        <f aca="false">IFERROR(__xludf.dummyfunction("""COMPUTED_VALUE"""),"proposal::of::a::possible::fix::(link::review3)")</f>
        <v>proposal::of::a::possible::fix::(link::review3)</v>
      </c>
      <c r="G81" s="4" t="str">
        <f aca="false">IFERROR(__xludf.dummyfunction("""COMPUTED_VALUE"""),"preceeding::change::(revision::hash)")</f>
        <v>preceeding::change::(revision::hash)</v>
      </c>
      <c r="H81" s="4" t="str">
        <f aca="false">IFERROR(__xludf.dummyfunction("""COMPUTED_VALUE"""),"providing::clarification::possible::usage")</f>
        <v>providing::clarification::possible::usage</v>
      </c>
    </row>
    <row r="82" customFormat="false" ht="15.75" hidden="false" customHeight="false" outlineLevel="0" collapsed="false">
      <c r="A82" s="3" t="s">
        <v>440</v>
      </c>
      <c r="B82" s="3" t="str">
        <f aca="false">IF(COUNTIF(Final_CB_I6_V5!$B$2:$B$834,A82)&gt;=1,"YES","NO")</f>
        <v>YES</v>
      </c>
      <c r="C82" s="3" t="s">
        <v>441</v>
      </c>
      <c r="D82" s="3" t="str">
        <f aca="false">IF(COUNTIF(Final_CB_I6_V5!$C$2:$C$834,C82)&gt;=1,"YES","NO")</f>
        <v>YES</v>
      </c>
      <c r="F82" s="4" t="str">
        <f aca="false">IFERROR(__xludf.dummyfunction("""COMPUTED_VALUE"""),"proposal::of::a::possible::fix::(link::review4)")</f>
        <v>proposal::of::a::possible::fix::(link::review4)</v>
      </c>
      <c r="G82" s="4" t="str">
        <f aca="false">IFERROR(__xludf.dummyfunction("""COMPUTED_VALUE"""),"preceeding::feature")</f>
        <v>preceeding::feature</v>
      </c>
      <c r="H82" s="4" t="str">
        <f aca="false">IFERROR(__xludf.dummyfunction("""COMPUTED_VALUE"""),"providing::clarification::proposal::change::solution::design::(minor)2")</f>
        <v>providing::clarification::proposal::change::solution::design::(minor)2</v>
      </c>
    </row>
    <row r="83" customFormat="false" ht="15.75" hidden="false" customHeight="false" outlineLevel="0" collapsed="false">
      <c r="A83" s="3" t="s">
        <v>442</v>
      </c>
      <c r="B83" s="3" t="str">
        <f aca="false">IF(COUNTIF(Final_CB_I6_V5!$B$2:$B$834,A83)&gt;=1,"YES","NO")</f>
        <v>YES</v>
      </c>
      <c r="C83" s="3" t="s">
        <v>442</v>
      </c>
      <c r="D83" s="3" t="str">
        <f aca="false">IF(COUNTIF(Final_CB_I6_V5!$C$2:$C$834,C83)&gt;=1,"YES","NO")</f>
        <v>YES</v>
      </c>
      <c r="F83" s="4" t="str">
        <f aca="false">IFERROR(__xludf.dummyfunction("""COMPUTED_VALUE"""),"proposal::of::a::possible::solution::(explanation)")</f>
        <v>proposal::of::a::possible::solution::(explanation)</v>
      </c>
      <c r="G83" s="4" t="str">
        <f aca="false">IFERROR(__xludf.dummyfunction("""COMPUTED_VALUE"""),"proposal::change::solution::design::(additional::feature))")</f>
        <v>proposal::change::solution::design::(additional::feature))</v>
      </c>
      <c r="H83" s="4" t="str">
        <f aca="false">IFERROR(__xludf.dummyfunction("""COMPUTED_VALUE"""),"providing::example::for::intended::usage::(per::expected::functionallity)")</f>
        <v>providing::example::for::intended::usage::(per::expected::functionallity)</v>
      </c>
    </row>
    <row r="84" customFormat="false" ht="15.75" hidden="false" customHeight="false" outlineLevel="0" collapsed="false">
      <c r="A84" s="3" t="s">
        <v>443</v>
      </c>
      <c r="B84" s="3" t="str">
        <f aca="false">IF(COUNTIF(Final_CB_I6_V5!$B$2:$B$834,A84)&gt;=1,"YES","NO")</f>
        <v>YES</v>
      </c>
      <c r="C84" s="3" t="s">
        <v>444</v>
      </c>
      <c r="D84" s="3" t="str">
        <f aca="false">IF(COUNTIF(Final_CB_I6_V5!$C$2:$C$834,C84)&gt;=1,"YES","NO")</f>
        <v>YES</v>
      </c>
      <c r="F84" s="4" t="str">
        <f aca="false">IFERROR(__xludf.dummyfunction("""COMPUTED_VALUE"""),"proposal::of::a::related::fix::(link::review)::not::main::branch")</f>
        <v>proposal::of::a::related::fix::(link::review)::not::main::branch</v>
      </c>
      <c r="G84" s="4" t="str">
        <f aca="false">IFERROR(__xludf.dummyfunction("""COMPUTED_VALUE"""),"proposal::change::solution::design::(leave::as::is)")</f>
        <v>proposal::change::solution::design::(leave::as::is)</v>
      </c>
      <c r="H84" s="4" t="str">
        <f aca="false">IFERROR(__xludf.dummyfunction("""COMPUTED_VALUE"""),"providing::reasons::not::supporting::feature")</f>
        <v>providing::reasons::not::supporting::feature</v>
      </c>
    </row>
    <row r="85" customFormat="false" ht="15.75" hidden="false" customHeight="false" outlineLevel="0" collapsed="false">
      <c r="A85" s="3" t="s">
        <v>445</v>
      </c>
      <c r="B85" s="3" t="str">
        <f aca="false">IF(COUNTIF(Final_CB_I6_V5!$B$2:$B$834,A85)&gt;=1,"YES","NO")</f>
        <v>YES</v>
      </c>
      <c r="C85" s="3" t="s">
        <v>446</v>
      </c>
      <c r="D85" s="3" t="str">
        <f aca="false">IF(COUNTIF(Final_CB_I6_V5!$C$2:$C$834,C85)&gt;=1,"YES","NO")</f>
        <v>YES</v>
      </c>
      <c r="F85" s="4" t="str">
        <f aca="false">IFERROR(__xludf.dummyfunction("""COMPUTED_VALUE"""),"providing::assistance::(confirming::bug)")</f>
        <v>providing::assistance::(confirming::bug)</v>
      </c>
      <c r="G85" s="4" t="str">
        <f aca="false">IFERROR(__xludf.dummyfunction("""COMPUTED_VALUE"""),"proposal::for::backporting::change")</f>
        <v>proposal::for::backporting::change</v>
      </c>
      <c r="H85" s="4" t="str">
        <f aca="false">IFERROR(__xludf.dummyfunction("""COMPUTED_VALUE"""),"providing::reasons::of::the::issue")</f>
        <v>providing::reasons::of::the::issue</v>
      </c>
    </row>
    <row r="86" customFormat="false" ht="15.75" hidden="false" customHeight="false" outlineLevel="0" collapsed="false">
      <c r="A86" s="3" t="s">
        <v>444</v>
      </c>
      <c r="B86" s="3" t="str">
        <f aca="false">IF(COUNTIF(Final_CB_I6_V5!$B$2:$B$834,A86)&gt;=1,"YES","NO")</f>
        <v>YES</v>
      </c>
      <c r="C86" s="3" t="s">
        <v>447</v>
      </c>
      <c r="D86" s="3" t="str">
        <f aca="false">IF(COUNTIF(Final_CB_I6_V5!$C$2:$C$834,C86)&gt;=1,"YES","NO")</f>
        <v>YES</v>
      </c>
      <c r="F86" s="4" t="str">
        <f aca="false">IFERROR(__xludf.dummyfunction("""COMPUTED_VALUE"""),"providing::assistance::(status::bug)")</f>
        <v>providing::assistance::(status::bug)</v>
      </c>
      <c r="G86" s="4" t="str">
        <f aca="false">IFERROR(__xludf.dummyfunction("""COMPUTED_VALUE"""),"proposal::of::a::possible::fix::(link::review3)::not::main::branch")</f>
        <v>proposal::of::a::possible::fix::(link::review3)::not::main::branch</v>
      </c>
      <c r="H86" s="4" t="str">
        <f aca="false">IFERROR(__xludf.dummyfunction("""COMPUTED_VALUE"""),"reason::for::abandoning::the::change::(no::longer::needed::already::being::adressed)::link::another::review")</f>
        <v>reason::for::abandoning::the::change::(no::longer::needed::already::being::adressed)::link::another::review</v>
      </c>
    </row>
    <row r="87" customFormat="false" ht="15.75" hidden="false" customHeight="false" outlineLevel="0" collapsed="false">
      <c r="A87" s="3" t="s">
        <v>446</v>
      </c>
      <c r="B87" s="3" t="str">
        <f aca="false">IF(COUNTIF(Final_CB_I6_V5!$B$2:$B$834,A87)&gt;=1,"YES","NO")</f>
        <v>YES</v>
      </c>
      <c r="C87" s="3" t="s">
        <v>448</v>
      </c>
      <c r="D87" s="3" t="str">
        <f aca="false">IF(COUNTIF(Final_CB_I6_V5!$C$2:$C$834,C87)&gt;=1,"YES","NO")</f>
        <v>YES</v>
      </c>
      <c r="F87" s="4" t="str">
        <f aca="false">IFERROR(__xludf.dummyfunction("""COMPUTED_VALUE"""),"providing::clarification::about::release::timeline")</f>
        <v>providing::clarification::about::release::timeline</v>
      </c>
      <c r="G87" s="4" t="str">
        <f aca="false">IFERROR(__xludf.dummyfunction("""COMPUTED_VALUE"""),"proposal::of::a::possible::fix::(link::review5)")</f>
        <v>proposal::of::a::possible::fix::(link::review5)</v>
      </c>
      <c r="H87" s="4" t="str">
        <f aca="false">IFERROR(__xludf.dummyfunction("""COMPUTED_VALUE"""),"reason::for::abandoning::the::change::(replaced::by::change2)::link::another::review2")</f>
        <v>reason::for::abandoning::the::change::(replaced::by::change2)::link::another::review2</v>
      </c>
    </row>
    <row r="88" customFormat="false" ht="15.75" hidden="false" customHeight="false" outlineLevel="0" collapsed="false">
      <c r="A88" s="3" t="s">
        <v>107</v>
      </c>
      <c r="B88" s="3" t="str">
        <f aca="false">IF(COUNTIF(Final_CB_I6_V5!$B$2:$B$834,A88)&gt;=1,"YES","NO")</f>
        <v>YES</v>
      </c>
      <c r="C88" s="3" t="s">
        <v>449</v>
      </c>
      <c r="D88" s="3" t="str">
        <f aca="false">IF(COUNTIF(Final_CB_I6_V5!$C$2:$C$834,C88)&gt;=1,"YES","NO")</f>
        <v>YES</v>
      </c>
      <c r="F88" s="4" t="str">
        <f aca="false">IFERROR(__xludf.dummyfunction("""COMPUTED_VALUE"""),"providing::clarification::documentation")</f>
        <v>providing::clarification::documentation</v>
      </c>
      <c r="G88" s="4" t="str">
        <f aca="false">IFERROR(__xludf.dummyfunction("""COMPUTED_VALUE"""),"proposal::of::a::possible::solution::(code::in::text)")</f>
        <v>proposal::of::a::possible::solution::(code::in::text)</v>
      </c>
      <c r="H88" s="4" t="str">
        <f aca="false">IFERROR(__xludf.dummyfunction("""COMPUTED_VALUE"""),"reason::for::abandoning::the::change2::(replaced::by::change4)::link::another::review4")</f>
        <v>reason::for::abandoning::the::change2::(replaced::by::change4)::link::another::review4</v>
      </c>
    </row>
    <row r="89" customFormat="false" ht="15.75" hidden="false" customHeight="false" outlineLevel="0" collapsed="false">
      <c r="A89" s="3" t="s">
        <v>450</v>
      </c>
      <c r="B89" s="3" t="str">
        <f aca="false">IF(COUNTIF(Final_CB_I6_V5!$B$2:$B$834,A89)&gt;=1,"YES","NO")</f>
        <v>YES</v>
      </c>
      <c r="C89" s="3" t="s">
        <v>451</v>
      </c>
      <c r="D89" s="3" t="str">
        <f aca="false">IF(COUNTIF(Final_CB_I6_V5!$C$2:$C$834,C89)&gt;=1,"YES","NO")</f>
        <v>YES</v>
      </c>
      <c r="F89" s="4" t="str">
        <f aca="false">IFERROR(__xludf.dummyfunction("""COMPUTED_VALUE"""),"providing::clarification::expected::behaviour")</f>
        <v>providing::clarification::expected::behaviour</v>
      </c>
      <c r="G89" s="4" t="str">
        <f aca="false">IFERROR(__xludf.dummyfunction("""COMPUTED_VALUE"""),"proposal::of::a::related::fix::(link::review)")</f>
        <v>proposal::of::a::related::fix::(link::review)</v>
      </c>
      <c r="H89" s="4" t="str">
        <f aca="false">IFERROR(__xludf.dummyfunction("""COMPUTED_VALUE"""),"ref::CVE References")</f>
        <v>ref::CVE References</v>
      </c>
    </row>
    <row r="90" customFormat="false" ht="15.75" hidden="false" customHeight="false" outlineLevel="0" collapsed="false">
      <c r="A90" s="3" t="s">
        <v>452</v>
      </c>
      <c r="B90" s="3" t="str">
        <f aca="false">IF(COUNTIF(Final_CB_I6_V5!$B$2:$B$834,A90)&gt;=1,"YES","NO")</f>
        <v>YES</v>
      </c>
      <c r="C90" s="3" t="s">
        <v>453</v>
      </c>
      <c r="D90" s="3" t="str">
        <f aca="false">IF(COUNTIF(Final_CB_I6_V5!$C$2:$C$834,C90)&gt;=1,"YES","NO")</f>
        <v>YES</v>
      </c>
      <c r="F90" s="4" t="str">
        <f aca="false">IFERROR(__xludf.dummyfunction("""COMPUTED_VALUE"""),"providing::clarification::intended::solution::design")</f>
        <v>providing::clarification::intended::solution::design</v>
      </c>
      <c r="G90" s="4" t="str">
        <f aca="false">IFERROR(__xludf.dummyfunction("""COMPUTED_VALUE"""),"proposal::of::a::related::fix::(link::review1)")</f>
        <v>proposal::of::a::related::fix::(link::review1)</v>
      </c>
      <c r="H90" s="4" t="str">
        <f aca="false">IFERROR(__xludf.dummyfunction("""COMPUTED_VALUE"""),"ref::external::references")</f>
        <v>ref::external::references</v>
      </c>
    </row>
    <row r="91" customFormat="false" ht="15.75" hidden="false" customHeight="false" outlineLevel="0" collapsed="false">
      <c r="A91" s="3" t="s">
        <v>454</v>
      </c>
      <c r="B91" s="3" t="str">
        <f aca="false">IF(COUNTIF(Final_CB_I6_V5!$B$2:$B$834,A91)&gt;=1,"YES","NO")</f>
        <v>YES</v>
      </c>
      <c r="C91" s="3" t="s">
        <v>455</v>
      </c>
      <c r="D91" s="3" t="str">
        <f aca="false">IF(COUNTIF(Final_CB_I6_V5!$C$2:$C$834,C91)&gt;=1,"YES","NO")</f>
        <v>YES</v>
      </c>
      <c r="F91" s="4" t="str">
        <f aca="false">IFERROR(__xludf.dummyfunction("""COMPUTED_VALUE"""),"providing::clarification::intended::solution::design::(backwards::compatebility)")</f>
        <v>providing::clarification::intended::solution::design::(backwards::compatebility)</v>
      </c>
      <c r="G91" s="4" t="str">
        <f aca="false">IFERROR(__xludf.dummyfunction("""COMPUTED_VALUE"""),"proposal::of::a::related::fix::(link::review2)")</f>
        <v>proposal::of::a::related::fix::(link::review2)</v>
      </c>
      <c r="H91" s="4" t="str">
        <f aca="false">IFERROR(__xludf.dummyfunction("""COMPUTED_VALUE"""),"ref::external::references::(other::projects)")</f>
        <v>ref::external::references::(other::projects)</v>
      </c>
    </row>
    <row r="92" customFormat="false" ht="15.75" hidden="false" customHeight="false" outlineLevel="0" collapsed="false">
      <c r="A92" s="3" t="s">
        <v>456</v>
      </c>
      <c r="B92" s="3" t="str">
        <f aca="false">IF(COUNTIF(Final_CB_I6_V5!$B$2:$B$834,A92)&gt;=1,"YES","NO")</f>
        <v>YES</v>
      </c>
      <c r="C92" s="3" t="s">
        <v>457</v>
      </c>
      <c r="D92" s="3" t="str">
        <f aca="false">IF(COUNTIF(Final_CB_I6_V5!$C$2:$C$834,C92)&gt;=1,"YES","NO")</f>
        <v>YES</v>
      </c>
      <c r="F92" s="4" t="str">
        <f aca="false">IFERROR(__xludf.dummyfunction("""COMPUTED_VALUE"""),"providing::clarification::missing::documentation")</f>
        <v>providing::clarification::missing::documentation</v>
      </c>
      <c r="G92" s="4" t="str">
        <f aca="false">IFERROR(__xludf.dummyfunction("""COMPUTED_VALUE"""),"proposal::of::a::related::fix::(link::review4)::not::main::branch")</f>
        <v>proposal::of::a::related::fix::(link::review4)::not::main::branch</v>
      </c>
      <c r="H92" s="4" t="str">
        <f aca="false">IFERROR(__xludf.dummyfunction("""COMPUTED_VALUE"""),"ref::external::references::(theory::book)")</f>
        <v>ref::external::references::(theory::book)</v>
      </c>
    </row>
    <row r="93" customFormat="false" ht="15.75" hidden="false" customHeight="false" outlineLevel="0" collapsed="false">
      <c r="A93" s="3" t="s">
        <v>458</v>
      </c>
      <c r="B93" s="3" t="str">
        <f aca="false">IF(COUNTIF(Final_CB_I6_V5!$B$2:$B$834,A93)&gt;=1,"YES","NO")</f>
        <v>YES</v>
      </c>
      <c r="C93" s="3" t="s">
        <v>459</v>
      </c>
      <c r="D93" s="3" t="str">
        <f aca="false">IF(COUNTIF(Final_CB_I6_V5!$C$2:$C$834,C93)&gt;=1,"YES","NO")</f>
        <v>YES</v>
      </c>
      <c r="F93" s="4" t="str">
        <f aca="false">IFERROR(__xludf.dummyfunction("""COMPUTED_VALUE"""),"providing::details::(nova::version)")</f>
        <v>providing::details::(nova::version)</v>
      </c>
      <c r="G93" s="4" t="str">
        <f aca="false">IFERROR(__xludf.dummyfunction("""COMPUTED_VALUE"""),"proposal::of::extending::the::task")</f>
        <v>proposal::of::extending::the::task</v>
      </c>
      <c r="H93" s="4" t="str">
        <f aca="false">IFERROR(__xludf.dummyfunction("""COMPUTED_VALUE"""),"ref::references::(PR)")</f>
        <v>ref::references::(PR)</v>
      </c>
    </row>
    <row r="94" customFormat="false" ht="15.75" hidden="false" customHeight="false" outlineLevel="0" collapsed="false">
      <c r="A94" s="3" t="s">
        <v>117</v>
      </c>
      <c r="B94" s="3" t="str">
        <f aca="false">IF(COUNTIF(Final_CB_I6_V5!$B$2:$B$834,A94)&gt;=1,"YES","NO")</f>
        <v>YES</v>
      </c>
      <c r="C94" s="3" t="s">
        <v>460</v>
      </c>
      <c r="D94" s="3" t="str">
        <f aca="false">IF(COUNTIF(Final_CB_I6_V5!$C$2:$C$834,C94)&gt;=1,"YES","NO")</f>
        <v>YES</v>
      </c>
      <c r="F94" s="4" t="str">
        <f aca="false">IFERROR(__xludf.dummyfunction("""COMPUTED_VALUE"""),"providing::example::for::expected::outcome")</f>
        <v>providing::example::for::expected::outcome</v>
      </c>
      <c r="G94" s="4" t="str">
        <f aca="false">IFERROR(__xludf.dummyfunction("""COMPUTED_VALUE"""),"proposes::refactoring")</f>
        <v>proposes::refactoring</v>
      </c>
      <c r="H94" s="4" t="str">
        <f aca="false">IFERROR(__xludf.dummyfunction("""COMPUTED_VALUE"""),"reference::previous::meeting::which::agreed::on::proposed::solution")</f>
        <v>reference::previous::meeting::which::agreed::on::proposed::solution</v>
      </c>
    </row>
    <row r="95" customFormat="false" ht="15.75" hidden="false" customHeight="false" outlineLevel="0" collapsed="false">
      <c r="A95" s="3" t="s">
        <v>121</v>
      </c>
      <c r="B95" s="3" t="str">
        <f aca="false">IF(COUNTIF(Final_CB_I6_V5!$B$2:$B$834,A95)&gt;=1,"YES","NO")</f>
        <v>YES</v>
      </c>
      <c r="C95" s="3" t="s">
        <v>452</v>
      </c>
      <c r="D95" s="3" t="str">
        <f aca="false">IF(COUNTIF(Final_CB_I6_V5!$C$2:$C$834,C95)&gt;=1,"YES","NO")</f>
        <v>YES</v>
      </c>
      <c r="F95" s="4" t="str">
        <f aca="false">IFERROR(__xludf.dummyfunction("""COMPUTED_VALUE"""),"providing::example::for::intended::usage1")</f>
        <v>providing::example::for::intended::usage1</v>
      </c>
      <c r="G95" s="4" t="str">
        <f aca="false">IFERROR(__xludf.dummyfunction("""COMPUTED_VALUE"""),"providing:.clarification::reason::of::the::bug")</f>
        <v>providing:.clarification::reason::of::the::bug</v>
      </c>
      <c r="H95" s="4" t="str">
        <f aca="false">IFERROR(__xludf.dummyfunction("""COMPUTED_VALUE"""),"reference::previous::message")</f>
        <v>reference::previous::message</v>
      </c>
    </row>
    <row r="96" customFormat="false" ht="15.75" hidden="false" customHeight="false" outlineLevel="0" collapsed="false">
      <c r="A96" s="3" t="s">
        <v>123</v>
      </c>
      <c r="B96" s="3" t="str">
        <f aca="false">IF(COUNTIF(Final_CB_I6_V5!$B$2:$B$834,A96)&gt;=1,"YES","NO")</f>
        <v>YES</v>
      </c>
      <c r="C96" s="3" t="s">
        <v>454</v>
      </c>
      <c r="D96" s="3" t="str">
        <f aca="false">IF(COUNTIF(Final_CB_I6_V5!$C$2:$C$834,C96)&gt;=1,"YES","NO")</f>
        <v>YES</v>
      </c>
      <c r="F96" s="4" t="str">
        <f aca="false">IFERROR(__xludf.dummyfunction("""COMPUTED_VALUE"""),"reason::of::the::bug")</f>
        <v>reason::of::the::bug</v>
      </c>
      <c r="G96" s="4" t="str">
        <f aca="false">IFERROR(__xludf.dummyfunction("""COMPUTED_VALUE"""),"providing::clarification::proposal::change::solution::design::(minor)1")</f>
        <v>providing::clarification::proposal::change::solution::design::(minor)1</v>
      </c>
      <c r="H96" s="4" t="str">
        <f aca="false">IFERROR(__xludf.dummyfunction("""COMPUTED_VALUE"""),"referes::to::another::(BP)")</f>
        <v>referes::to::another::(BP)</v>
      </c>
    </row>
    <row r="97" customFormat="false" ht="15.75" hidden="false" customHeight="false" outlineLevel="0" collapsed="false">
      <c r="A97" s="3" t="s">
        <v>127</v>
      </c>
      <c r="B97" s="3" t="str">
        <f aca="false">IF(COUNTIF(Final_CB_I6_V5!$B$2:$B$834,A97)&gt;=1,"YES","NO")</f>
        <v>YES</v>
      </c>
      <c r="C97" s="3" t="s">
        <v>458</v>
      </c>
      <c r="D97" s="3" t="str">
        <f aca="false">IF(COUNTIF(Final_CB_I6_V5!$C$2:$C$834,C97)&gt;=1,"YES","NO")</f>
        <v>YES</v>
      </c>
      <c r="F97" s="4" t="str">
        <f aca="false">IFERROR(__xludf.dummyfunction("""COMPUTED_VALUE"""),"ref::code::link")</f>
        <v>ref::code::link</v>
      </c>
      <c r="G97" s="4" t="str">
        <f aca="false">IFERROR(__xludf.dummyfunction("""COMPUTED_VALUE"""),"providing::clarification::regarding::implementation::details")</f>
        <v>providing::clarification::regarding::implementation::details</v>
      </c>
      <c r="H97" s="4" t="str">
        <f aca="false">IFERROR(__xludf.dummyfunction("""COMPUTED_VALUE"""),"referes::to::spec::(link::etherpad)")</f>
        <v>referes::to::spec::(link::etherpad)</v>
      </c>
    </row>
    <row r="98" customFormat="false" ht="15.75" hidden="false" customHeight="false" outlineLevel="0" collapsed="false">
      <c r="A98" s="3" t="s">
        <v>461</v>
      </c>
      <c r="B98" s="3" t="str">
        <f aca="false">IF(COUNTIF(Final_CB_I6_V5!$B$2:$B$834,A98)&gt;=1,"YES","NO")</f>
        <v>YES</v>
      </c>
      <c r="C98" s="3" t="s">
        <v>462</v>
      </c>
      <c r="D98" s="3" t="str">
        <f aca="false">IF(COUNTIF(Final_CB_I6_V5!$C$2:$C$834,C98)&gt;=1,"YES","NO")</f>
        <v>YES</v>
      </c>
      <c r="F98" s="4" t="str">
        <f aca="false">IFERROR(__xludf.dummyfunction("""COMPUTED_VALUE"""),"ref::code::link::(gist)")</f>
        <v>ref::code::link::(gist)</v>
      </c>
      <c r="G98" s="4" t="str">
        <f aca="false">IFERROR(__xludf.dummyfunction("""COMPUTED_VALUE"""),"providing::clarification::regarding::previous::question")</f>
        <v>providing::clarification::regarding::previous::question</v>
      </c>
      <c r="H98" s="4" t="str">
        <f aca="false">IFERROR(__xludf.dummyfunction("""COMPUTED_VALUE"""),"relation::with::other::BP::work")</f>
        <v>relation::with::other::BP::work</v>
      </c>
    </row>
    <row r="99" customFormat="false" ht="15.75" hidden="false" customHeight="false" outlineLevel="0" collapsed="false">
      <c r="A99" s="3" t="s">
        <v>463</v>
      </c>
      <c r="B99" s="3" t="str">
        <f aca="false">IF(COUNTIF(Final_CB_I6_V5!$B$2:$B$834,A99)&gt;=1,"YES","NO")</f>
        <v>YES</v>
      </c>
      <c r="C99" s="3" t="s">
        <v>464</v>
      </c>
      <c r="D99" s="3" t="str">
        <f aca="false">IF(COUNTIF(Final_CB_I6_V5!$C$2:$C$834,C99)&gt;=1,"YES","NO")</f>
        <v>YES</v>
      </c>
      <c r="F99" s="4" t="str">
        <f aca="false">IFERROR(__xludf.dummyfunction("""COMPUTED_VALUE"""),"ref::external::references::(documentation)")</f>
        <v>ref::external::references::(documentation)</v>
      </c>
      <c r="G99" s="4" t="str">
        <f aca="false">IFERROR(__xludf.dummyfunction("""COMPUTED_VALUE"""),"providing::clarification::regarding::where::to::document")</f>
        <v>providing::clarification::regarding::where::to::document</v>
      </c>
      <c r="H99" s="4" t="str">
        <f aca="false">IFERROR(__xludf.dummyfunction("""COMPUTED_VALUE"""),"requesting:developing::process::(review::patches)")</f>
        <v>requesting:developing::process::(review::patches)</v>
      </c>
    </row>
    <row r="100" customFormat="false" ht="15.75" hidden="false" customHeight="false" outlineLevel="0" collapsed="false">
      <c r="A100" s="3" t="s">
        <v>465</v>
      </c>
      <c r="B100" s="3" t="str">
        <f aca="false">IF(COUNTIF(Final_CB_I6_V5!$B$2:$B$834,A100)&gt;=1,"YES","NO")</f>
        <v>YES</v>
      </c>
      <c r="C100" s="3" t="s">
        <v>466</v>
      </c>
      <c r="D100" s="3" t="str">
        <f aca="false">IF(COUNTIF(Final_CB_I6_V5!$C$2:$C$834,C100)&gt;=1,"YES","NO")</f>
        <v>YES</v>
      </c>
      <c r="F100" s="4" t="str">
        <f aca="false">IFERROR(__xludf.dummyfunction("""COMPUTED_VALUE"""),"ref::mailing::list")</f>
        <v>ref::mailing::list</v>
      </c>
      <c r="G100" s="4" t="str">
        <f aca="false">IFERROR(__xludf.dummyfunction("""COMPUTED_VALUE"""),"providing::details::(query::used)")</f>
        <v>providing::details::(query::used)</v>
      </c>
      <c r="H100" s="4" t="str">
        <f aca="false">IFERROR(__xludf.dummyfunction("""COMPUTED_VALUE"""),"source::of::the::bug::(code::link)")</f>
        <v>source::of::the::bug::(code::link)</v>
      </c>
    </row>
    <row r="101" customFormat="false" ht="15.75" hidden="false" customHeight="false" outlineLevel="0" collapsed="false">
      <c r="A101" s="3" t="s">
        <v>467</v>
      </c>
      <c r="B101" s="3" t="str">
        <f aca="false">IF(COUNTIF(Final_CB_I6_V5!$B$2:$B$834,A101)&gt;=1,"YES","NO")</f>
        <v>YES</v>
      </c>
      <c r="C101" s="3" t="s">
        <v>468</v>
      </c>
      <c r="D101" s="3" t="str">
        <f aca="false">IF(COUNTIF(Final_CB_I6_V5!$C$2:$C$834,C101)&gt;=1,"YES","NO")</f>
        <v>YES</v>
      </c>
      <c r="F101" s="4" t="str">
        <f aca="false">IFERROR(__xludf.dummyfunction("""COMPUTED_VALUE"""),"referer::to::related::bug")</f>
        <v>referer::to::related::bug</v>
      </c>
      <c r="G101" s="4" t="str">
        <f aca="false">IFERROR(__xludf.dummyfunction("""COMPUTED_VALUE"""),"providing::documentation")</f>
        <v>providing::documentation</v>
      </c>
      <c r="H101" s="4" t="str">
        <f aca="false">IFERROR(__xludf.dummyfunction("""COMPUTED_VALUE"""),"status::of::feature")</f>
        <v>status::of::feature</v>
      </c>
    </row>
    <row r="102" customFormat="false" ht="15.75" hidden="false" customHeight="false" outlineLevel="0" collapsed="false">
      <c r="A102" s="3" t="s">
        <v>469</v>
      </c>
      <c r="B102" s="3" t="str">
        <f aca="false">IF(COUNTIF(Final_CB_I6_V5!$B$2:$B$834,A102)&gt;=1,"YES","NO")</f>
        <v>YES</v>
      </c>
      <c r="C102" s="3" t="s">
        <v>470</v>
      </c>
      <c r="D102" s="3" t="str">
        <f aca="false">IF(COUNTIF(Final_CB_I6_V5!$C$2:$C$834,C102)&gt;=1,"YES","NO")</f>
        <v>YES</v>
      </c>
      <c r="F102" s="4" t="str">
        <f aca="false">IFERROR(__xludf.dummyfunction("""COMPUTED_VALUE"""),"referer::to::related::bug1")</f>
        <v>referer::to::related::bug1</v>
      </c>
      <c r="G102" s="4" t="str">
        <f aca="false">IFERROR(__xludf.dummyfunction("""COMPUTED_VALUE"""),"providing::example::for::intended::usage2")</f>
        <v>providing::example::for::intended::usage2</v>
      </c>
      <c r="H102" s="4" t="str">
        <f aca="false">IFERROR(__xludf.dummyfunction("""COMPUTED_VALUE"""),"status::of::patches")</f>
        <v>status::of::patches</v>
      </c>
    </row>
    <row r="103" customFormat="false" ht="15.75" hidden="false" customHeight="false" outlineLevel="0" collapsed="false">
      <c r="A103" s="3" t="s">
        <v>471</v>
      </c>
      <c r="B103" s="3" t="str">
        <f aca="false">IF(COUNTIF(Final_CB_I6_V5!$B$2:$B$834,A103)&gt;=1,"YES","NO")</f>
        <v>YES</v>
      </c>
      <c r="C103" s="3" t="s">
        <v>472</v>
      </c>
      <c r="D103" s="3" t="str">
        <f aca="false">IF(COUNTIF(Final_CB_I6_V5!$C$2:$C$834,C103)&gt;=1,"YES","NO")</f>
        <v>YES</v>
      </c>
      <c r="F103" s="4" t="str">
        <f aca="false">IFERROR(__xludf.dummyfunction("""COMPUTED_VALUE"""),"referer::to::related::issue")</f>
        <v>referer::to::related::issue</v>
      </c>
      <c r="G103" s="4" t="str">
        <f aca="false">IFERROR(__xludf.dummyfunction("""COMPUTED_VALUE"""),"providing::example::for::intended::usage::(from::another:issue)")</f>
        <v>providing::example::for::intended::usage::(from::another:issue)</v>
      </c>
      <c r="H103" s="4" t="str">
        <f aca="false">IFERROR(__xludf.dummyfunction("""COMPUTED_VALUE"""),"steps::to::replicate::the::bug")</f>
        <v>steps::to::replicate::the::bug</v>
      </c>
    </row>
    <row r="104" customFormat="false" ht="15.75" hidden="false" customHeight="false" outlineLevel="0" collapsed="false">
      <c r="A104" s="3" t="s">
        <v>473</v>
      </c>
      <c r="B104" s="3" t="str">
        <f aca="false">IF(COUNTIF(Final_CB_I6_V5!$B$2:$B$834,A104)&gt;=1,"YES","NO")</f>
        <v>YES</v>
      </c>
      <c r="C104" s="3" t="s">
        <v>474</v>
      </c>
      <c r="D104" s="3" t="str">
        <f aca="false">IF(COUNTIF(Final_CB_I6_V5!$C$2:$C$834,C104)&gt;=1,"YES","NO")</f>
        <v>YES</v>
      </c>
      <c r="F104" s="4" t="str">
        <f aca="false">IFERROR(__xludf.dummyfunction("""COMPUTED_VALUE"""),"referes::to::spec")</f>
        <v>referes::to::spec</v>
      </c>
      <c r="G104" s="4" t="str">
        <f aca="false">IFERROR(__xludf.dummyfunction("""COMPUTED_VALUE"""),"rebase::required")</f>
        <v>rebase::required</v>
      </c>
      <c r="H104" s="4" t="str">
        <f aca="false">IFERROR(__xludf.dummyfunction("""COMPUTED_VALUE"""),"suggest::moving::to::next::release")</f>
        <v>suggest::moving::to::next::release</v>
      </c>
    </row>
    <row r="105" customFormat="false" ht="15.75" hidden="false" customHeight="false" outlineLevel="0" collapsed="false">
      <c r="A105" s="3" t="s">
        <v>475</v>
      </c>
      <c r="B105" s="3" t="str">
        <f aca="false">IF(COUNTIF(Final_CB_I6_V5!$B$2:$B$834,A105)&gt;=1,"YES","NO")</f>
        <v>YES</v>
      </c>
      <c r="C105" s="3" t="s">
        <v>476</v>
      </c>
      <c r="D105" s="3" t="str">
        <f aca="false">IF(COUNTIF(Final_CB_I6_V5!$C$2:$C$834,C105)&gt;=1,"YES","NO")</f>
        <v>YES</v>
      </c>
      <c r="F105" s="4" t="str">
        <f aca="false">IFERROR(__xludf.dummyfunction("""COMPUTED_VALUE"""),"referes::to::spec::(link::review)")</f>
        <v>referes::to::spec::(link::review)</v>
      </c>
      <c r="G105" s="4" t="str">
        <f aca="false">IFERROR(__xludf.dummyfunction("""COMPUTED_VALUE"""),"referer::to::related::review")</f>
        <v>referer::to::related::review</v>
      </c>
      <c r="H105" s="4" t="str">
        <f aca="false">IFERROR(__xludf.dummyfunction("""COMPUTED_VALUE"""),"suggestion::rename::variables")</f>
        <v>suggestion::rename::variables</v>
      </c>
    </row>
    <row r="106" customFormat="false" ht="15.75" hidden="false" customHeight="false" outlineLevel="0" collapsed="false">
      <c r="A106" s="3" t="s">
        <v>477</v>
      </c>
      <c r="B106" s="3" t="str">
        <f aca="false">IF(COUNTIF(Final_CB_I6_V5!$B$2:$B$834,A106)&gt;=1,"YES","NO")</f>
        <v>YES</v>
      </c>
      <c r="C106" s="3" t="s">
        <v>478</v>
      </c>
      <c r="D106" s="3" t="str">
        <f aca="false">IF(COUNTIF(Final_CB_I6_V5!$C$2:$C$834,C106)&gt;=1,"YES","NO")</f>
        <v>YES</v>
      </c>
      <c r="F106" s="4" t="str">
        <f aca="false">IFERROR(__xludf.dummyfunction("""COMPUTED_VALUE"""),"requesting::add::desciption::requirements::(testing::purposes)")</f>
        <v>requesting::add::desciption::requirements::(testing::purposes)</v>
      </c>
      <c r="G106" s="4" t="str">
        <f aca="false">IFERROR(__xludf.dummyfunction("""COMPUTED_VALUE"""),"relation::with::other::bug::(no::link)")</f>
        <v>relation::with::other::bug::(no::link)</v>
      </c>
      <c r="H106" s="4" t="str">
        <f aca="false">IFERROR(__xludf.dummyfunction("""COMPUTED_VALUE"""),"summary::of::the::purpose")</f>
        <v>summary::of::the::purpose</v>
      </c>
    </row>
    <row r="107" customFormat="false" ht="15.75" hidden="false" customHeight="false" outlineLevel="0" collapsed="false">
      <c r="A107" s="3" t="s">
        <v>479</v>
      </c>
      <c r="B107" s="3" t="str">
        <f aca="false">IF(COUNTIF(Final_CB_I6_V5!$B$2:$B$834,A107)&gt;=1,"YES","NO")</f>
        <v>YES</v>
      </c>
      <c r="C107" s="3" t="s">
        <v>480</v>
      </c>
      <c r="D107" s="3" t="str">
        <f aca="false">IF(COUNTIF(Final_CB_I6_V5!$C$2:$C$834,C107)&gt;=1,"YES","NO")</f>
        <v>YES</v>
      </c>
      <c r="F107" s="4" t="str">
        <f aca="false">IFERROR(__xludf.dummyfunction("""COMPUTED_VALUE"""),"requesting::add::details::(description)")</f>
        <v>requesting::add::details::(description)</v>
      </c>
      <c r="G107" s="4" t="str">
        <f aca="false">IFERROR(__xludf.dummyfunction("""COMPUTED_VALUE"""),"reviews::addressing::feature")</f>
        <v>reviews::addressing::feature</v>
      </c>
      <c r="H107" s="4" t="str">
        <f aca="false">IFERROR(__xludf.dummyfunction("""COMPUTED_VALUE"""),"topic::that::group::all::changes::related::to::BP/feature")</f>
        <v>topic::that::group::all::changes::related::to::BP/feature</v>
      </c>
    </row>
    <row r="108" customFormat="false" ht="15.75" hidden="false" customHeight="false" outlineLevel="0" collapsed="false">
      <c r="A108" s="3" t="s">
        <v>472</v>
      </c>
      <c r="B108" s="3" t="str">
        <f aca="false">IF(COUNTIF(Final_CB_I6_V5!$B$2:$B$834,A108)&gt;=1,"YES","NO")</f>
        <v>YES</v>
      </c>
      <c r="C108" s="3" t="s">
        <v>481</v>
      </c>
      <c r="D108" s="3" t="str">
        <f aca="false">IF(COUNTIF(Final_CB_I6_V5!$C$2:$C$834,C108)&gt;=1,"YES","NO")</f>
        <v>YES</v>
      </c>
      <c r="F108" s="4" t="str">
        <f aca="false">IFERROR(__xludf.dummyfunction("""COMPUTED_VALUE"""),"requesting:developing::process::(tidy::up::patches)")</f>
        <v>requesting:developing::process::(tidy::up::patches)</v>
      </c>
      <c r="G108" s="4" t="str">
        <f aca="false">IFERROR(__xludf.dummyfunction("""COMPUTED_VALUE"""),"security::enhancements")</f>
        <v>security::enhancements</v>
      </c>
      <c r="H108" s="4" t="str">
        <f aca="false">IFERROR(__xludf.dummyfunction("""COMPUTED_VALUE"""),"topic10::that::group::all::changes::related::to::BP/feature")</f>
        <v>topic10::that::group::all::changes::related::to::BP/feature</v>
      </c>
    </row>
    <row r="109" customFormat="false" ht="15.75" hidden="false" customHeight="false" outlineLevel="0" collapsed="false">
      <c r="A109" s="3" t="s">
        <v>482</v>
      </c>
      <c r="B109" s="3" t="str">
        <f aca="false">IF(COUNTIF(Final_CB_I6_V5!$B$2:$B$834,A109)&gt;=1,"YES","NO")</f>
        <v>YES</v>
      </c>
      <c r="C109" s="3" t="s">
        <v>483</v>
      </c>
      <c r="D109" s="3" t="str">
        <f aca="false">IF(COUNTIF(Final_CB_I6_V5!$C$2:$C$834,C109)&gt;=1,"YES","NO")</f>
        <v>YES</v>
      </c>
      <c r="F109" s="4" t="str">
        <f aca="false">IFERROR(__xludf.dummyfunction("""COMPUTED_VALUE"""),"reviews::addressing::bug")</f>
        <v>reviews::addressing::bug</v>
      </c>
      <c r="G109" s="4" t="str">
        <f aca="false">IFERROR(__xludf.dummyfunction("""COMPUTED_VALUE"""),"situation::where::bug::appears")</f>
        <v>situation::where::bug::appears</v>
      </c>
      <c r="H109" s="4" t="str">
        <f aca="false">IFERROR(__xludf.dummyfunction("""COMPUTED_VALUE"""),"topic11::that::group::all::changes::related::to::BP/feature")</f>
        <v>topic11::that::group::all::changes::related::to::BP/feature</v>
      </c>
    </row>
    <row r="110" customFormat="false" ht="15.75" hidden="false" customHeight="false" outlineLevel="0" collapsed="false">
      <c r="A110" s="3" t="s">
        <v>484</v>
      </c>
      <c r="B110" s="3" t="str">
        <f aca="false">IF(COUNTIF(Final_CB_I6_V5!$B$2:$B$834,A110)&gt;=1,"YES","NO")</f>
        <v>YES</v>
      </c>
      <c r="C110" s="3" t="s">
        <v>485</v>
      </c>
      <c r="D110" s="3" t="str">
        <f aca="false">IF(COUNTIF(Final_CB_I6_V5!$C$2:$C$834,C110)&gt;=1,"YES","NO")</f>
        <v>YES</v>
      </c>
      <c r="F110" s="4" t="str">
        <f aca="false">IFERROR(__xludf.dummyfunction("""COMPUTED_VALUE"""),"reviews::addressing::bug::(status)")</f>
        <v>reviews::addressing::bug::(status)</v>
      </c>
      <c r="G110" s="4" t="str">
        <f aca="false">IFERROR(__xludf.dummyfunction("""COMPUTED_VALUE"""),"steps::required::for::backwards::compatibility")</f>
        <v>steps::required::for::backwards::compatibility</v>
      </c>
      <c r="H110" s="4" t="str">
        <f aca="false">IFERROR(__xludf.dummyfunction("""COMPUTED_VALUE"""),"topic12::that::group::all::changes::related::to::BP/feature")</f>
        <v>topic12::that::group::all::changes::related::to::BP/feature</v>
      </c>
    </row>
    <row r="111" customFormat="false" ht="15.75" hidden="false" customHeight="false" outlineLevel="0" collapsed="false">
      <c r="A111" s="3" t="s">
        <v>486</v>
      </c>
      <c r="B111" s="3" t="str">
        <f aca="false">IF(COUNTIF(Final_CB_I6_V5!$B$2:$B$834,A111)&gt;=1,"YES","NO")</f>
        <v>YES</v>
      </c>
      <c r="C111" s="3" t="s">
        <v>487</v>
      </c>
      <c r="D111" s="3" t="str">
        <f aca="false">IF(COUNTIF(Final_CB_I6_V5!$C$2:$C$834,C111)&gt;=1,"YES","NO")</f>
        <v>YES</v>
      </c>
      <c r="F111" s="4" t="str">
        <f aca="false">IFERROR(__xludf.dummyfunction("""COMPUTED_VALUE"""),"source::of::the::bug::(hash::commit)")</f>
        <v>source::of::the::bug::(hash::commit)</v>
      </c>
      <c r="G111" s="4" t="str">
        <f aca="false">IFERROR(__xludf.dummyfunction("""COMPUTED_VALUE"""),"undesired::behaviour")</f>
        <v>undesired::behaviour</v>
      </c>
      <c r="H111" s="4" t="str">
        <f aca="false">IFERROR(__xludf.dummyfunction("""COMPUTED_VALUE"""),"topic13::that::group::all::changes::related::to::BP/feature")</f>
        <v>topic13::that::group::all::changes::related::to::BP/feature</v>
      </c>
    </row>
    <row r="112" customFormat="false" ht="15.75" hidden="false" customHeight="false" outlineLevel="0" collapsed="false">
      <c r="A112" s="3" t="s">
        <v>478</v>
      </c>
      <c r="B112" s="3" t="str">
        <f aca="false">IF(COUNTIF(Final_CB_I6_V5!$B$2:$B$834,A112)&gt;=1,"YES","NO")</f>
        <v>YES</v>
      </c>
      <c r="C112" s="3" t="s">
        <v>488</v>
      </c>
      <c r="D112" s="3" t="str">
        <f aca="false">IF(COUNTIF(Final_CB_I6_V5!$C$2:$C$834,C112)&gt;=1,"YES","NO")</f>
        <v>YES</v>
      </c>
      <c r="F112" s="4" t="str">
        <f aca="false">IFERROR(__xludf.dummyfunction("""COMPUTED_VALUE"""),"source::of::the::bug::(issue::link)")</f>
        <v>source::of::the::bug::(issue::link)</v>
      </c>
      <c r="G112" s="4" t="str">
        <f aca="false">IFERROR(__xludf.dummyfunction("""COMPUTED_VALUE"""),"when::is::the::bug::present::(specific::python::version)")</f>
        <v>when::is::the::bug::present::(specific::python::version)</v>
      </c>
      <c r="H112" s="4" t="str">
        <f aca="false">IFERROR(__xludf.dummyfunction("""COMPUTED_VALUE"""),"topic2::that::group::all::changes::related::to::BP/feature")</f>
        <v>topic2::that::group::all::changes::related::to::BP/feature</v>
      </c>
    </row>
    <row r="113" customFormat="false" ht="15.75" hidden="false" customHeight="false" outlineLevel="0" collapsed="false">
      <c r="A113" s="3" t="s">
        <v>480</v>
      </c>
      <c r="B113" s="3" t="str">
        <f aca="false">IF(COUNTIF(Final_CB_I6_V5!$B$2:$B$834,A113)&gt;=1,"YES","NO")</f>
        <v>YES</v>
      </c>
      <c r="C113" s="3" t="s">
        <v>489</v>
      </c>
      <c r="D113" s="3" t="str">
        <f aca="false">IF(COUNTIF(Final_CB_I6_V5!$C$2:$C$834,C113)&gt;=1,"YES","NO")</f>
        <v>YES</v>
      </c>
      <c r="F113" s="4" t="str">
        <f aca="false">IFERROR(__xludf.dummyfunction("""COMPUTED_VALUE"""),"steps::replicate::bug")</f>
        <v>steps::replicate::bug</v>
      </c>
      <c r="G113" s="4" t="str">
        <f aca="false">IFERROR(__xludf.dummyfunction("""COMPUTED_VALUE"""),"x")</f>
        <v>x</v>
      </c>
      <c r="H113" s="4" t="str">
        <f aca="false">IFERROR(__xludf.dummyfunction("""COMPUTED_VALUE"""),"topic3::that::group::all::changes::related::to::BP/feature")</f>
        <v>topic3::that::group::all::changes::related::to::BP/feature</v>
      </c>
    </row>
    <row r="114" customFormat="false" ht="15.75" hidden="false" customHeight="false" outlineLevel="0" collapsed="false">
      <c r="A114" s="3" t="s">
        <v>481</v>
      </c>
      <c r="B114" s="3" t="str">
        <f aca="false">IF(COUNTIF(Final_CB_I6_V5!$B$2:$B$834,A114)&gt;=1,"YES","NO")</f>
        <v>YES</v>
      </c>
      <c r="C114" s="3" t="s">
        <v>490</v>
      </c>
      <c r="D114" s="3" t="str">
        <f aca="false">IF(COUNTIF(Final_CB_I6_V5!$C$2:$C$834,C114)&gt;=1,"YES","NO")</f>
        <v>YES</v>
      </c>
      <c r="F114" s="4" t="str">
        <f aca="false">IFERROR(__xludf.dummyfunction("""COMPUTED_VALUE"""),"summary::of::the::problem")</f>
        <v>summary::of::the::problem</v>
      </c>
      <c r="G114" s="4"/>
      <c r="H114" s="4" t="str">
        <f aca="false">IFERROR(__xludf.dummyfunction("""COMPUTED_VALUE"""),"topic4::that::group::all::changes::related::to::BP/feature")</f>
        <v>topic4::that::group::all::changes::related::to::BP/feature</v>
      </c>
    </row>
    <row r="115" customFormat="false" ht="15.75" hidden="false" customHeight="false" outlineLevel="0" collapsed="false">
      <c r="A115" s="3" t="s">
        <v>491</v>
      </c>
      <c r="B115" s="3" t="str">
        <f aca="false">IF(COUNTIF(Final_CB_I6_V5!$B$2:$B$834,A115)&gt;=1,"YES","NO")</f>
        <v>YES</v>
      </c>
      <c r="C115" s="3" t="s">
        <v>492</v>
      </c>
      <c r="D115" s="3" t="str">
        <f aca="false">IF(COUNTIF(Final_CB_I6_V5!$C$2:$C$834,C115)&gt;=1,"YES","NO")</f>
        <v>YES</v>
      </c>
      <c r="F115" s="4" t="str">
        <f aca="false">IFERROR(__xludf.dummyfunction("""COMPUTED_VALUE"""),"testing::status")</f>
        <v>testing::status</v>
      </c>
      <c r="G115" s="4"/>
      <c r="H115" s="4" t="str">
        <f aca="false">IFERROR(__xludf.dummyfunction("""COMPUTED_VALUE"""),"topic5::that::group::all::changes::related::to::BP/feature")</f>
        <v>topic5::that::group::all::changes::related::to::BP/feature</v>
      </c>
    </row>
    <row r="116" customFormat="false" ht="15.75" hidden="false" customHeight="false" outlineLevel="0" collapsed="false">
      <c r="A116" s="3" t="s">
        <v>493</v>
      </c>
      <c r="B116" s="3" t="str">
        <f aca="false">IF(COUNTIF(Final_CB_I6_V5!$B$2:$B$834,A116)&gt;=1,"YES","NO")</f>
        <v>YES</v>
      </c>
      <c r="C116" s="3" t="s">
        <v>494</v>
      </c>
      <c r="D116" s="3" t="str">
        <f aca="false">IF(COUNTIF(Final_CB_I6_V5!$C$2:$C$834,C116)&gt;=1,"YES","NO")</f>
        <v>YES</v>
      </c>
      <c r="F116" s="4" t="str">
        <f aca="false">IFERROR(__xludf.dummyfunction("""COMPUTED_VALUE"""),"unapproved::specification::of::BP")</f>
        <v>unapproved::specification::of::BP</v>
      </c>
      <c r="G116" s="4"/>
      <c r="H116" s="4" t="str">
        <f aca="false">IFERROR(__xludf.dummyfunction("""COMPUTED_VALUE"""),"topic6::that::group::all::changes::related::to::BP/feature")</f>
        <v>topic6::that::group::all::changes::related::to::BP/feature</v>
      </c>
    </row>
    <row r="117" customFormat="false" ht="15.75" hidden="false" customHeight="false" outlineLevel="0" collapsed="false">
      <c r="A117" s="3" t="s">
        <v>495</v>
      </c>
      <c r="B117" s="3" t="str">
        <f aca="false">IF(COUNTIF(Final_CB_I6_V5!$B$2:$B$834,A117)&gt;=1,"YES","NO")</f>
        <v>YES</v>
      </c>
      <c r="C117" s="3" t="s">
        <v>496</v>
      </c>
      <c r="D117" s="3" t="str">
        <f aca="false">IF(COUNTIF(Final_CB_I6_V5!$C$2:$C$834,C117)&gt;=1,"YES","NO")</f>
        <v>YES</v>
      </c>
      <c r="F117" s="4" t="str">
        <f aca="false">IFERROR(__xludf.dummyfunction("""COMPUTED_VALUE"""),"what::is::the::bug::causing")</f>
        <v>what::is::the::bug::causing</v>
      </c>
      <c r="G117" s="4"/>
      <c r="H117" s="4" t="str">
        <f aca="false">IFERROR(__xludf.dummyfunction("""COMPUTED_VALUE"""),"topic7::that::group::all::changes::related::to::BP/feature")</f>
        <v>topic7::that::group::all::changes::related::to::BP/feature</v>
      </c>
    </row>
    <row r="118" customFormat="false" ht="15.75" hidden="false" customHeight="false" outlineLevel="0" collapsed="false">
      <c r="A118" s="3" t="s">
        <v>489</v>
      </c>
      <c r="B118" s="3" t="str">
        <f aca="false">IF(COUNTIF(Final_CB_I6_V5!$B$2:$B$834,A118)&gt;=1,"YES","NO")</f>
        <v>YES</v>
      </c>
      <c r="C118" s="3" t="s">
        <v>497</v>
      </c>
      <c r="D118" s="3" t="str">
        <f aca="false">IF(COUNTIF(Final_CB_I6_V5!$C$2:$C$834,C118)&gt;=1,"YES","NO")</f>
        <v>YES</v>
      </c>
      <c r="F118" s="4" t="str">
        <f aca="false">IFERROR(__xludf.dummyfunction("""COMPUTED_VALUE"""),"when::is::the::bug::present")</f>
        <v>when::is::the::bug::present</v>
      </c>
      <c r="G118" s="4"/>
      <c r="H118" s="4" t="str">
        <f aca="false">IFERROR(__xludf.dummyfunction("""COMPUTED_VALUE"""),"topic8::that::group::all::changes::related::to::BP/feature")</f>
        <v>topic8::that::group::all::changes::related::to::BP/feature</v>
      </c>
    </row>
    <row r="119" customFormat="false" ht="15.75" hidden="false" customHeight="false" outlineLevel="0" collapsed="false">
      <c r="A119" s="3" t="s">
        <v>490</v>
      </c>
      <c r="B119" s="3" t="str">
        <f aca="false">IF(COUNTIF(Final_CB_I6_V5!$B$2:$B$834,A119)&gt;=1,"YES","NO")</f>
        <v>YES</v>
      </c>
      <c r="C119" s="3" t="s">
        <v>498</v>
      </c>
      <c r="D119" s="3" t="str">
        <f aca="false">IF(COUNTIF(Final_CB_I6_V5!$C$2:$C$834,C119)&gt;=1,"YES","NO")</f>
        <v>YES</v>
      </c>
      <c r="F119" s="4" t="str">
        <f aca="false">IFERROR(__xludf.dummyfunction("""COMPUTED_VALUE"""),"when::is::the::bug::present::(specific::elasticsearch::version)")</f>
        <v>when::is::the::bug::present::(specific::elasticsearch::version)</v>
      </c>
      <c r="G119" s="4"/>
      <c r="H119" s="4" t="str">
        <f aca="false">IFERROR(__xludf.dummyfunction("""COMPUTED_VALUE"""),"topic9::that::group::all::changes::related::to::BP/feature")</f>
        <v>topic9::that::group::all::changes::related::to::BP/feature</v>
      </c>
    </row>
    <row r="120" customFormat="false" ht="15.75" hidden="false" customHeight="false" outlineLevel="0" collapsed="false">
      <c r="A120" s="3" t="s">
        <v>494</v>
      </c>
      <c r="B120" s="3" t="str">
        <f aca="false">IF(COUNTIF(Final_CB_I6_V5!$B$2:$B$834,A120)&gt;=1,"YES","NO")</f>
        <v>YES</v>
      </c>
      <c r="C120" s="3" t="s">
        <v>499</v>
      </c>
      <c r="D120" s="3" t="str">
        <f aca="false">IF(COUNTIF(Final_CB_I6_V5!$C$2:$C$834,C120)&gt;=1,"YES","NO")</f>
        <v>YES</v>
      </c>
      <c r="F120" s="4" t="str">
        <f aca="false">IFERROR(__xludf.dummyfunction("""COMPUTED_VALUE"""),"when::is::the::bug::present::(specific::java::version)")</f>
        <v>when::is::the::bug::present::(specific::java::version)</v>
      </c>
      <c r="G120" s="4"/>
      <c r="H120" s="4" t="str">
        <f aca="false">IFERROR(__xludf.dummyfunction("""COMPUTED_VALUE"""),"units::of::work::(link::to::reviews)")</f>
        <v>units::of::work::(link::to::reviews)</v>
      </c>
    </row>
    <row r="121" customFormat="false" ht="15.75" hidden="false" customHeight="false" outlineLevel="0" collapsed="false">
      <c r="A121" s="3" t="s">
        <v>497</v>
      </c>
      <c r="B121" s="3" t="str">
        <f aca="false">IF(COUNTIF(Final_CB_I6_V5!$B$2:$B$834,A121)&gt;=1,"YES","NO")</f>
        <v>YES</v>
      </c>
      <c r="C121" s="3" t="s">
        <v>500</v>
      </c>
      <c r="D121" s="3" t="str">
        <f aca="false">IF(COUNTIF(Final_CB_I6_V5!$C$2:$C$834,C121)&gt;=1,"YES","NO")</f>
        <v>YES</v>
      </c>
      <c r="F121" s="4" t="str">
        <f aca="false">IFERROR(__xludf.dummyfunction("""COMPUTED_VALUE"""),"why::change::is::required")</f>
        <v>why::change::is::required</v>
      </c>
      <c r="G121" s="4"/>
      <c r="H121" s="4" t="str">
        <f aca="false">IFERROR(__xludf.dummyfunction("""COMPUTED_VALUE"""),"where::is::the::bug")</f>
        <v>where::is::the::bug</v>
      </c>
    </row>
    <row r="122" customFormat="false" ht="15.75" hidden="false" customHeight="false" outlineLevel="0" collapsed="false">
      <c r="A122" s="3" t="s">
        <v>501</v>
      </c>
      <c r="B122" s="3" t="str">
        <f aca="false">IF(COUNTIF(Final_CB_I6_V5!$B$2:$B$834,A122)&gt;=1,"YES","NO")</f>
        <v>YES</v>
      </c>
      <c r="C122" s="3" t="s">
        <v>502</v>
      </c>
      <c r="D122" s="3" t="str">
        <f aca="false">IF(COUNTIF(Final_CB_I6_V5!$C$2:$C$834,C122)&gt;=1,"YES","NO")</f>
        <v>YES</v>
      </c>
      <c r="F122" s="4" t="str">
        <f aca="false">IFERROR(__xludf.dummyfunction("""COMPUTED_VALUE"""),"why::feature::is::required")</f>
        <v>why::feature::is::required</v>
      </c>
      <c r="G122" s="4"/>
      <c r="H122" s="4" t="str">
        <f aca="false">IFERROR(__xludf.dummyfunction("""COMPUTED_VALUE"""),"where::was::merged::the::units::of::work")</f>
        <v>where::was::merged::the::units::of::work</v>
      </c>
    </row>
    <row r="123" customFormat="false" ht="15.75" hidden="false" customHeight="false" outlineLevel="0" collapsed="false">
      <c r="A123" s="3" t="s">
        <v>499</v>
      </c>
      <c r="B123" s="3" t="str">
        <f aca="false">IF(COUNTIF(Final_CB_I6_V5!$B$2:$B$834,A123)&gt;=1,"YES","NO")</f>
        <v>YES</v>
      </c>
      <c r="C123" s="3" t="s">
        <v>503</v>
      </c>
      <c r="D123" s="3" t="str">
        <f aca="false">IF(COUNTIF(Final_CB_I6_V5!$C$2:$C$834,C123)&gt;=1,"YES","NO")</f>
        <v>YES</v>
      </c>
      <c r="F123" s="4" t="str">
        <f aca="false">IFERROR(__xludf.dummyfunction("""COMPUTED_VALUE"""),"wrong::linking::between::review::commit2::and::bug")</f>
        <v>wrong::linking::between::review::commit2::and::bug</v>
      </c>
      <c r="G123" s="4"/>
      <c r="H123" s="4" t="str">
        <f aca="false">IFERROR(__xludf.dummyfunction("""COMPUTED_VALUE"""),"why::BP/feature::is::required")</f>
        <v>why::BP/feature::is::required</v>
      </c>
    </row>
    <row r="124" customFormat="false" ht="15.75" hidden="false" customHeight="false" outlineLevel="0" collapsed="false">
      <c r="A124" s="3" t="s">
        <v>502</v>
      </c>
      <c r="B124" s="3" t="str">
        <f aca="false">IF(COUNTIF(Final_CB_I6_V5!$B$2:$B$834,A124)&gt;=1,"YES","NO")</f>
        <v>YES</v>
      </c>
      <c r="C124" s="3" t="s">
        <v>504</v>
      </c>
      <c r="D124" s="3" t="str">
        <f aca="false">IF(COUNTIF(Final_CB_I6_V5!$C$2:$C$834,C124)&gt;=1,"YES","NO")</f>
        <v>YES</v>
      </c>
      <c r="G124" s="4"/>
      <c r="H124" s="4"/>
    </row>
    <row r="125" customFormat="false" ht="15.75" hidden="false" customHeight="false" outlineLevel="0" collapsed="false">
      <c r="A125" s="3" t="s">
        <v>503</v>
      </c>
      <c r="B125" s="3" t="str">
        <f aca="false">IF(COUNTIF(Final_CB_I6_V5!$B$2:$B$834,A125)&gt;=1,"YES","NO")</f>
        <v>YES</v>
      </c>
      <c r="C125" s="3" t="s">
        <v>505</v>
      </c>
      <c r="D125" s="3" t="str">
        <f aca="false">IF(COUNTIF(Final_CB_I6_V5!$C$2:$C$834,C125)&gt;=1,"YES","NO")</f>
        <v>YES</v>
      </c>
      <c r="G125" s="4"/>
      <c r="H125" s="4"/>
    </row>
    <row r="126" customFormat="false" ht="15.75" hidden="false" customHeight="false" outlineLevel="0" collapsed="false">
      <c r="A126" s="3" t="s">
        <v>504</v>
      </c>
      <c r="B126" s="3" t="str">
        <f aca="false">IF(COUNTIF(Final_CB_I6_V5!$B$2:$B$834,A126)&gt;=1,"YES","NO")</f>
        <v>YES</v>
      </c>
      <c r="C126" s="3" t="s">
        <v>506</v>
      </c>
      <c r="D126" s="3" t="str">
        <f aca="false">IF(COUNTIF(Final_CB_I6_V5!$C$2:$C$834,C126)&gt;=1,"YES","NO")</f>
        <v>YES</v>
      </c>
      <c r="G126" s="4"/>
      <c r="H126" s="4"/>
    </row>
    <row r="127" customFormat="false" ht="15.75" hidden="false" customHeight="false" outlineLevel="0" collapsed="false">
      <c r="A127" s="3" t="s">
        <v>137</v>
      </c>
      <c r="B127" s="3" t="str">
        <f aca="false">IF(COUNTIF(Final_CB_I6_V5!$B$2:$B$834,A127)&gt;=1,"YES","NO")</f>
        <v>YES</v>
      </c>
      <c r="C127" s="3" t="s">
        <v>507</v>
      </c>
      <c r="D127" s="3" t="str">
        <f aca="false">IF(COUNTIF(Final_CB_I6_V5!$C$2:$C$834,C127)&gt;=1,"YES","NO")</f>
        <v>YES</v>
      </c>
      <c r="G127" s="4"/>
      <c r="H127" s="4"/>
    </row>
    <row r="128" customFormat="false" ht="15.75" hidden="false" customHeight="false" outlineLevel="0" collapsed="false">
      <c r="A128" s="3" t="s">
        <v>508</v>
      </c>
      <c r="B128" s="3" t="str">
        <f aca="false">IF(COUNTIF(Final_CB_I6_V5!$B$2:$B$834,A128)&gt;=1,"YES","NO")</f>
        <v>YES</v>
      </c>
      <c r="C128" s="3" t="s">
        <v>137</v>
      </c>
      <c r="D128" s="3" t="str">
        <f aca="false">IF(COUNTIF(Final_CB_I6_V5!$C$2:$C$834,C128)&gt;=1,"YES","NO")</f>
        <v>YES</v>
      </c>
      <c r="G128" s="4"/>
      <c r="H128" s="4"/>
    </row>
    <row r="129" customFormat="false" ht="15.75" hidden="false" customHeight="false" outlineLevel="0" collapsed="false">
      <c r="A129" s="3" t="s">
        <v>509</v>
      </c>
      <c r="B129" s="3" t="str">
        <f aca="false">IF(COUNTIF(Final_CB_I6_V5!$B$2:$B$834,A129)&gt;=1,"YES","NO")</f>
        <v>YES</v>
      </c>
      <c r="C129" s="3" t="s">
        <v>510</v>
      </c>
      <c r="D129" s="3" t="str">
        <f aca="false">IF(COUNTIF(Final_CB_I6_V5!$C$2:$C$834,C129)&gt;=1,"YES","NO")</f>
        <v>YES</v>
      </c>
      <c r="G129" s="4"/>
      <c r="H129" s="4"/>
    </row>
    <row r="130" customFormat="false" ht="15.75" hidden="false" customHeight="false" outlineLevel="0" collapsed="false">
      <c r="A130" s="3" t="s">
        <v>511</v>
      </c>
      <c r="B130" s="3" t="str">
        <f aca="false">IF(COUNTIF(Final_CB_I6_V5!$B$2:$B$834,A130)&gt;=1,"YES","NO")</f>
        <v>YES</v>
      </c>
      <c r="C130" s="3" t="s">
        <v>508</v>
      </c>
      <c r="D130" s="3" t="str">
        <f aca="false">IF(COUNTIF(Final_CB_I6_V5!$C$2:$C$834,C130)&gt;=1,"YES","NO")</f>
        <v>YES</v>
      </c>
      <c r="G130" s="4"/>
      <c r="H130" s="4"/>
    </row>
    <row r="131" customFormat="false" ht="15.75" hidden="false" customHeight="false" outlineLevel="0" collapsed="false">
      <c r="A131" s="3" t="s">
        <v>157</v>
      </c>
      <c r="B131" s="3" t="str">
        <f aca="false">IF(COUNTIF(Final_CB_I6_V5!$B$2:$B$834,A131)&gt;=1,"YES","NO")</f>
        <v>YES</v>
      </c>
      <c r="C131" s="3" t="s">
        <v>509</v>
      </c>
      <c r="D131" s="3" t="str">
        <f aca="false">IF(COUNTIF(Final_CB_I6_V5!$C$2:$C$834,C131)&gt;=1,"YES","NO")</f>
        <v>YES</v>
      </c>
      <c r="G131" s="4"/>
      <c r="H131" s="4"/>
    </row>
    <row r="132" customFormat="false" ht="15.75" hidden="false" customHeight="false" outlineLevel="0" collapsed="false">
      <c r="A132" s="3" t="s">
        <v>512</v>
      </c>
      <c r="B132" s="3" t="str">
        <f aca="false">IF(COUNTIF(Final_CB_I6_V5!$B$2:$B$834,A132)&gt;=1,"YES","NO")</f>
        <v>YES</v>
      </c>
      <c r="C132" s="3" t="s">
        <v>513</v>
      </c>
      <c r="D132" s="3" t="str">
        <f aca="false">IF(COUNTIF(Final_CB_I6_V5!$C$2:$C$834,C132)&gt;=1,"YES","NO")</f>
        <v>YES</v>
      </c>
      <c r="G132" s="4"/>
      <c r="H132" s="4"/>
    </row>
    <row r="133" customFormat="false" ht="15.75" hidden="false" customHeight="false" outlineLevel="0" collapsed="false">
      <c r="A133" s="3" t="s">
        <v>514</v>
      </c>
      <c r="B133" s="3" t="str">
        <f aca="false">IF(COUNTIF(Final_CB_I6_V5!$B$2:$B$834,A133)&gt;=1,"YES","NO")</f>
        <v>YES</v>
      </c>
      <c r="C133" s="3" t="s">
        <v>515</v>
      </c>
      <c r="D133" s="3" t="str">
        <f aca="false">IF(COUNTIF(Final_CB_I6_V5!$C$2:$C$834,C133)&gt;=1,"YES","NO")</f>
        <v>YES</v>
      </c>
      <c r="G133" s="4"/>
      <c r="H133" s="4"/>
    </row>
    <row r="134" customFormat="false" ht="15.75" hidden="false" customHeight="false" outlineLevel="0" collapsed="false">
      <c r="A134" s="3" t="s">
        <v>516</v>
      </c>
      <c r="B134" s="3" t="str">
        <f aca="false">IF(COUNTIF(Final_CB_I6_V5!$B$2:$B$834,A134)&gt;=1,"YES","NO")</f>
        <v>YES</v>
      </c>
      <c r="C134" s="3" t="s">
        <v>517</v>
      </c>
      <c r="D134" s="3" t="str">
        <f aca="false">IF(COUNTIF(Final_CB_I6_V5!$C$2:$C$834,C134)&gt;=1,"YES","NO")</f>
        <v>YES</v>
      </c>
      <c r="G134" s="4"/>
      <c r="H134" s="4"/>
    </row>
    <row r="135" customFormat="false" ht="15.75" hidden="false" customHeight="false" outlineLevel="0" collapsed="false">
      <c r="A135" s="3" t="s">
        <v>518</v>
      </c>
      <c r="B135" s="3" t="str">
        <f aca="false">IF(COUNTIF(Final_CB_I6_V5!$B$2:$B$834,A135)&gt;=1,"YES","NO")</f>
        <v>YES</v>
      </c>
      <c r="C135" s="3" t="s">
        <v>519</v>
      </c>
      <c r="D135" s="3" t="str">
        <f aca="false">IF(COUNTIF(Final_CB_I6_V5!$C$2:$C$834,C135)&gt;=1,"YES","NO")</f>
        <v>YES</v>
      </c>
      <c r="G135" s="4"/>
      <c r="H135" s="4"/>
    </row>
    <row r="136" customFormat="false" ht="15.75" hidden="false" customHeight="false" outlineLevel="0" collapsed="false">
      <c r="A136" s="3" t="s">
        <v>517</v>
      </c>
      <c r="B136" s="3" t="str">
        <f aca="false">IF(COUNTIF(Final_CB_I6_V5!$B$2:$B$834,A136)&gt;=1,"YES","NO")</f>
        <v>YES</v>
      </c>
      <c r="C136" s="3" t="s">
        <v>520</v>
      </c>
      <c r="D136" s="3" t="str">
        <f aca="false">IF(COUNTIF(Final_CB_I6_V5!$C$2:$C$834,C136)&gt;=1,"YES","NO")</f>
        <v>YES</v>
      </c>
      <c r="G136" s="4"/>
      <c r="H136" s="4"/>
    </row>
    <row r="137" customFormat="false" ht="15.75" hidden="false" customHeight="false" outlineLevel="0" collapsed="false">
      <c r="A137" s="3" t="s">
        <v>520</v>
      </c>
      <c r="B137" s="3" t="str">
        <f aca="false">IF(COUNTIF(Final_CB_I6_V5!$B$2:$B$834,A137)&gt;=1,"YES","NO")</f>
        <v>YES</v>
      </c>
      <c r="C137" s="3" t="s">
        <v>521</v>
      </c>
      <c r="D137" s="3" t="str">
        <f aca="false">IF(COUNTIF(Final_CB_I6_V5!$C$2:$C$834,C137)&gt;=1,"YES","NO")</f>
        <v>YES</v>
      </c>
      <c r="G137" s="4"/>
      <c r="H137" s="4"/>
    </row>
    <row r="138" customFormat="false" ht="15.75" hidden="false" customHeight="false" outlineLevel="0" collapsed="false">
      <c r="A138" s="3" t="s">
        <v>521</v>
      </c>
      <c r="B138" s="3" t="str">
        <f aca="false">IF(COUNTIF(Final_CB_I6_V5!$B$2:$B$834,A138)&gt;=1,"YES","NO")</f>
        <v>YES</v>
      </c>
      <c r="C138" s="3" t="s">
        <v>522</v>
      </c>
      <c r="D138" s="3" t="str">
        <f aca="false">IF(COUNTIF(Final_CB_I6_V5!$C$2:$C$834,C138)&gt;=1,"YES","NO")</f>
        <v>YES</v>
      </c>
      <c r="G138" s="4"/>
      <c r="H138" s="4"/>
    </row>
    <row r="139" customFormat="false" ht="15.75" hidden="false" customHeight="false" outlineLevel="0" collapsed="false">
      <c r="A139" s="3" t="s">
        <v>523</v>
      </c>
      <c r="B139" s="3" t="str">
        <f aca="false">IF(COUNTIF(Final_CB_I6_V5!$B$2:$B$834,A139)&gt;=1,"YES","NO")</f>
        <v>YES</v>
      </c>
      <c r="C139" s="3" t="s">
        <v>524</v>
      </c>
      <c r="D139" s="3" t="str">
        <f aca="false">IF(COUNTIF(Final_CB_I6_V5!$C$2:$C$834,C139)&gt;=1,"YES","NO")</f>
        <v>YES</v>
      </c>
      <c r="G139" s="4"/>
      <c r="H139" s="4"/>
    </row>
    <row r="140" customFormat="false" ht="15.75" hidden="false" customHeight="false" outlineLevel="0" collapsed="false">
      <c r="A140" s="3" t="s">
        <v>525</v>
      </c>
      <c r="B140" s="3" t="str">
        <f aca="false">IF(COUNTIF(Final_CB_I6_V5!$B$2:$B$834,A140)&gt;=1,"YES","NO")</f>
        <v>YES</v>
      </c>
      <c r="C140" s="3" t="s">
        <v>526</v>
      </c>
      <c r="D140" s="3" t="str">
        <f aca="false">IF(COUNTIF(Final_CB_I6_V5!$C$2:$C$834,C140)&gt;=1,"YES","NO")</f>
        <v>YES</v>
      </c>
      <c r="G140" s="4"/>
      <c r="H140" s="4"/>
    </row>
    <row r="141" customFormat="false" ht="15.75" hidden="false" customHeight="false" outlineLevel="0" collapsed="false">
      <c r="A141" s="3" t="s">
        <v>527</v>
      </c>
      <c r="B141" s="3" t="str">
        <f aca="false">IF(COUNTIF(Final_CB_I6_V5!$B$2:$B$834,A141)&gt;=1,"YES","NO")</f>
        <v>YES</v>
      </c>
      <c r="C141" s="3" t="s">
        <v>528</v>
      </c>
      <c r="D141" s="3" t="str">
        <f aca="false">IF(COUNTIF(Final_CB_I6_V5!$C$2:$C$834,C141)&gt;=1,"YES","NO")</f>
        <v>YES</v>
      </c>
      <c r="G141" s="4"/>
      <c r="H141" s="4"/>
    </row>
    <row r="142" customFormat="false" ht="15.75" hidden="false" customHeight="false" outlineLevel="0" collapsed="false">
      <c r="A142" s="3" t="s">
        <v>529</v>
      </c>
      <c r="B142" s="3" t="str">
        <f aca="false">IF(COUNTIF(Final_CB_I6_V5!$B$2:$B$834,A142)&gt;=1,"YES","NO")</f>
        <v>YES</v>
      </c>
      <c r="C142" s="3" t="s">
        <v>530</v>
      </c>
      <c r="D142" s="3" t="str">
        <f aca="false">IF(COUNTIF(Final_CB_I6_V5!$C$2:$C$834,C142)&gt;=1,"YES","NO")</f>
        <v>YES</v>
      </c>
      <c r="G142" s="4"/>
      <c r="H142" s="4"/>
    </row>
    <row r="143" customFormat="false" ht="15.75" hidden="false" customHeight="false" outlineLevel="0" collapsed="false">
      <c r="A143" s="3" t="s">
        <v>531</v>
      </c>
      <c r="B143" s="3" t="str">
        <f aca="false">IF(COUNTIF(Final_CB_I6_V5!$B$2:$B$834,A143)&gt;=1,"YES","NO")</f>
        <v>YES</v>
      </c>
      <c r="C143" s="3" t="s">
        <v>532</v>
      </c>
      <c r="D143" s="3" t="str">
        <f aca="false">IF(COUNTIF(Final_CB_I6_V5!$C$2:$C$834,C143)&gt;=1,"YES","NO")</f>
        <v>YES</v>
      </c>
      <c r="G143" s="4"/>
      <c r="H143" s="4"/>
    </row>
    <row r="144" customFormat="false" ht="15.75" hidden="false" customHeight="false" outlineLevel="0" collapsed="false">
      <c r="A144" s="3" t="s">
        <v>533</v>
      </c>
      <c r="B144" s="3" t="str">
        <f aca="false">IF(COUNTIF(Final_CB_I6_V5!$B$2:$B$834,A144)&gt;=1,"YES","NO")</f>
        <v>YES</v>
      </c>
      <c r="C144" s="3" t="s">
        <v>534</v>
      </c>
      <c r="D144" s="3" t="str">
        <f aca="false">IF(COUNTIF(Final_CB_I6_V5!$C$2:$C$834,C144)&gt;=1,"YES","NO")</f>
        <v>YES</v>
      </c>
      <c r="G144" s="4"/>
      <c r="H144" s="4"/>
    </row>
    <row r="145" customFormat="false" ht="15.75" hidden="false" customHeight="false" outlineLevel="0" collapsed="false">
      <c r="A145" s="3" t="s">
        <v>535</v>
      </c>
      <c r="B145" s="3" t="str">
        <f aca="false">IF(COUNTIF(Final_CB_I6_V5!$B$2:$B$834,A145)&gt;=1,"YES","NO")</f>
        <v>YES</v>
      </c>
      <c r="C145" s="3" t="s">
        <v>154</v>
      </c>
      <c r="D145" s="3" t="str">
        <f aca="false">IF(COUNTIF(Final_CB_I6_V5!$C$2:$C$834,C145)&gt;=1,"YES","NO")</f>
        <v>YES</v>
      </c>
      <c r="G145" s="4"/>
      <c r="H145" s="4"/>
    </row>
    <row r="146" customFormat="false" ht="15.75" hidden="false" customHeight="false" outlineLevel="0" collapsed="false">
      <c r="A146" s="3" t="s">
        <v>536</v>
      </c>
      <c r="B146" s="3" t="str">
        <f aca="false">IF(COUNTIF(Final_CB_I6_V5!$B$2:$B$834,A146)&gt;=1,"YES","NO")</f>
        <v>YES</v>
      </c>
      <c r="C146" s="3" t="s">
        <v>537</v>
      </c>
      <c r="D146" s="3" t="str">
        <f aca="false">IF(COUNTIF(Final_CB_I6_V5!$C$2:$C$834,C146)&gt;=1,"YES","NO")</f>
        <v>YES</v>
      </c>
      <c r="G146" s="4"/>
      <c r="H146" s="4"/>
    </row>
    <row r="147" customFormat="false" ht="15.75" hidden="false" customHeight="false" outlineLevel="0" collapsed="false">
      <c r="A147" s="3" t="s">
        <v>538</v>
      </c>
      <c r="B147" s="3" t="str">
        <f aca="false">IF(COUNTIF(Final_CB_I6_V5!$B$2:$B$834,A147)&gt;=1,"YES","NO")</f>
        <v>YES</v>
      </c>
      <c r="C147" s="3" t="s">
        <v>539</v>
      </c>
      <c r="D147" s="3" t="str">
        <f aca="false">IF(COUNTIF(Final_CB_I6_V5!$C$2:$C$834,C147)&gt;=1,"YES","NO")</f>
        <v>YES</v>
      </c>
      <c r="G147" s="4"/>
      <c r="H147" s="4"/>
    </row>
    <row r="148" customFormat="false" ht="15.75" hidden="false" customHeight="false" outlineLevel="0" collapsed="false">
      <c r="A148" s="3" t="s">
        <v>540</v>
      </c>
      <c r="B148" s="3" t="str">
        <f aca="false">IF(COUNTIF(Final_CB_I6_V5!$B$2:$B$834,A148)&gt;=1,"YES","NO")</f>
        <v>YES</v>
      </c>
      <c r="C148" s="3" t="s">
        <v>168</v>
      </c>
      <c r="D148" s="3" t="str">
        <f aca="false">IF(COUNTIF(Final_CB_I6_V5!$C$2:$C$834,C148)&gt;=1,"YES","NO")</f>
        <v>YES</v>
      </c>
      <c r="G148" s="4"/>
      <c r="H148" s="4"/>
    </row>
    <row r="149" customFormat="false" ht="15.75" hidden="false" customHeight="false" outlineLevel="0" collapsed="false">
      <c r="A149" s="3" t="s">
        <v>541</v>
      </c>
      <c r="B149" s="3" t="str">
        <f aca="false">IF(COUNTIF(Final_CB_I6_V5!$B$2:$B$834,A149)&gt;=1,"YES","NO")</f>
        <v>YES</v>
      </c>
      <c r="C149" s="3" t="s">
        <v>170</v>
      </c>
      <c r="D149" s="3" t="str">
        <f aca="false">IF(COUNTIF(Final_CB_I6_V5!$C$2:$C$834,C149)&gt;=1,"YES","NO")</f>
        <v>YES</v>
      </c>
      <c r="G149" s="4"/>
      <c r="H149" s="4"/>
    </row>
    <row r="150" customFormat="false" ht="15.75" hidden="false" customHeight="false" outlineLevel="0" collapsed="false">
      <c r="A150" s="3" t="s">
        <v>542</v>
      </c>
      <c r="B150" s="3" t="str">
        <f aca="false">IF(COUNTIF(Final_CB_I6_V5!$B$2:$B$834,A150)&gt;=1,"YES","NO")</f>
        <v>YES</v>
      </c>
      <c r="C150" s="3" t="s">
        <v>188</v>
      </c>
      <c r="D150" s="3" t="str">
        <f aca="false">IF(COUNTIF(Final_CB_I6_V5!$C$2:$C$834,C150)&gt;=1,"YES","NO")</f>
        <v>YES</v>
      </c>
      <c r="G150" s="4"/>
      <c r="H150" s="4"/>
    </row>
    <row r="151" customFormat="false" ht="15.75" hidden="false" customHeight="false" outlineLevel="0" collapsed="false">
      <c r="A151" s="3" t="s">
        <v>526</v>
      </c>
      <c r="B151" s="3" t="str">
        <f aca="false">IF(COUNTIF(Final_CB_I6_V5!$B$2:$B$834,A151)&gt;=1,"YES","NO")</f>
        <v>YES</v>
      </c>
      <c r="C151" s="3" t="s">
        <v>171</v>
      </c>
      <c r="D151" s="3" t="str">
        <f aca="false">IF(COUNTIF(Final_CB_I6_V5!$C$2:$C$834,C151)&gt;=1,"YES","NO")</f>
        <v>YES</v>
      </c>
      <c r="G151" s="4"/>
      <c r="H151" s="4"/>
    </row>
    <row r="152" customFormat="false" ht="15.75" hidden="false" customHeight="false" outlineLevel="0" collapsed="false">
      <c r="A152" s="3" t="s">
        <v>543</v>
      </c>
      <c r="B152" s="3" t="str">
        <f aca="false">IF(COUNTIF(Final_CB_I6_V5!$B$2:$B$834,A152)&gt;=1,"YES","NO")</f>
        <v>YES</v>
      </c>
      <c r="C152" s="3" t="s">
        <v>173</v>
      </c>
      <c r="D152" s="3" t="str">
        <f aca="false">IF(COUNTIF(Final_CB_I6_V5!$C$2:$C$834,C152)&gt;=1,"YES","NO")</f>
        <v>YES</v>
      </c>
      <c r="G152" s="4"/>
      <c r="H152" s="4"/>
    </row>
    <row r="153" customFormat="false" ht="15.75" hidden="false" customHeight="false" outlineLevel="0" collapsed="false">
      <c r="A153" s="3" t="s">
        <v>544</v>
      </c>
      <c r="B153" s="3" t="str">
        <f aca="false">IF(COUNTIF(Final_CB_I6_V5!$B$2:$B$834,A153)&gt;=1,"YES","NO")</f>
        <v>YES</v>
      </c>
      <c r="C153" s="3" t="s">
        <v>177</v>
      </c>
      <c r="D153" s="3" t="str">
        <f aca="false">IF(COUNTIF(Final_CB_I6_V5!$C$2:$C$834,C153)&gt;=1,"YES","NO")</f>
        <v>YES</v>
      </c>
      <c r="G153" s="4"/>
      <c r="H153" s="4"/>
    </row>
    <row r="154" customFormat="false" ht="15.75" hidden="false" customHeight="false" outlineLevel="0" collapsed="false">
      <c r="A154" s="3" t="s">
        <v>528</v>
      </c>
      <c r="B154" s="3" t="str">
        <f aca="false">IF(COUNTIF(Final_CB_I6_V5!$B$2:$B$834,A154)&gt;=1,"YES","NO")</f>
        <v>YES</v>
      </c>
      <c r="C154" s="3" t="s">
        <v>179</v>
      </c>
      <c r="D154" s="3" t="str">
        <f aca="false">IF(COUNTIF(Final_CB_I6_V5!$C$2:$C$834,C154)&gt;=1,"YES","NO")</f>
        <v>YES</v>
      </c>
      <c r="G154" s="4"/>
      <c r="H154" s="4"/>
    </row>
    <row r="155" customFormat="false" ht="15.75" hidden="false" customHeight="false" outlineLevel="0" collapsed="false">
      <c r="A155" s="3" t="s">
        <v>530</v>
      </c>
      <c r="B155" s="3" t="str">
        <f aca="false">IF(COUNTIF(Final_CB_I6_V5!$B$2:$B$834,A155)&gt;=1,"YES","NO")</f>
        <v>YES</v>
      </c>
      <c r="C155" s="3" t="s">
        <v>545</v>
      </c>
      <c r="D155" s="3" t="str">
        <f aca="false">IF(COUNTIF(Final_CB_I6_V5!$C$2:$C$834,C155)&gt;=1,"YES","NO")</f>
        <v>YES</v>
      </c>
      <c r="G155" s="4"/>
      <c r="H155" s="4"/>
    </row>
    <row r="156" customFormat="false" ht="15.75" hidden="false" customHeight="false" outlineLevel="0" collapsed="false">
      <c r="A156" s="3" t="s">
        <v>532</v>
      </c>
      <c r="B156" s="3" t="str">
        <f aca="false">IF(COUNTIF(Final_CB_I6_V5!$B$2:$B$834,A156)&gt;=1,"YES","NO")</f>
        <v>YES</v>
      </c>
      <c r="C156" s="3" t="s">
        <v>546</v>
      </c>
      <c r="D156" s="3" t="str">
        <f aca="false">IF(COUNTIF(Final_CB_I6_V5!$C$2:$C$834,C156)&gt;=1,"YES","NO")</f>
        <v>YES</v>
      </c>
      <c r="G156" s="4"/>
      <c r="H156" s="4"/>
    </row>
    <row r="157" customFormat="false" ht="15.75" hidden="false" customHeight="false" outlineLevel="0" collapsed="false">
      <c r="A157" s="3" t="s">
        <v>547</v>
      </c>
      <c r="B157" s="3" t="str">
        <f aca="false">IF(COUNTIF(Final_CB_I6_V5!$B$2:$B$834,A157)&gt;=1,"YES","NO")</f>
        <v>YES</v>
      </c>
      <c r="C157" s="3" t="s">
        <v>548</v>
      </c>
      <c r="D157" s="3" t="str">
        <f aca="false">IF(COUNTIF(Final_CB_I6_V5!$C$2:$C$834,C157)&gt;=1,"YES","NO")</f>
        <v>YES</v>
      </c>
      <c r="G157" s="4"/>
      <c r="H157" s="4"/>
    </row>
    <row r="158" customFormat="false" ht="15.75" hidden="false" customHeight="false" outlineLevel="0" collapsed="false">
      <c r="A158" s="3" t="s">
        <v>154</v>
      </c>
      <c r="B158" s="3" t="str">
        <f aca="false">IF(COUNTIF(Final_CB_I6_V5!$B$2:$B$834,A158)&gt;=1,"YES","NO")</f>
        <v>YES</v>
      </c>
      <c r="C158" s="3" t="s">
        <v>549</v>
      </c>
      <c r="D158" s="3" t="str">
        <f aca="false">IF(COUNTIF(Final_CB_I6_V5!$C$2:$C$834,C158)&gt;=1,"YES","NO")</f>
        <v>YES</v>
      </c>
      <c r="G158" s="4"/>
      <c r="H158" s="4"/>
    </row>
    <row r="159" customFormat="false" ht="15.75" hidden="false" customHeight="false" outlineLevel="0" collapsed="false">
      <c r="A159" s="3" t="s">
        <v>537</v>
      </c>
      <c r="B159" s="3" t="str">
        <f aca="false">IF(COUNTIF(Final_CB_I6_V5!$B$2:$B$834,A159)&gt;=1,"YES","NO")</f>
        <v>YES</v>
      </c>
      <c r="C159" s="3" t="s">
        <v>550</v>
      </c>
      <c r="D159" s="3" t="str">
        <f aca="false">IF(COUNTIF(Final_CB_I6_V5!$C$2:$C$834,C159)&gt;=1,"YES","NO")</f>
        <v>YES</v>
      </c>
      <c r="G159" s="4"/>
      <c r="H159" s="4"/>
    </row>
    <row r="160" customFormat="false" ht="15.75" hidden="false" customHeight="false" outlineLevel="0" collapsed="false">
      <c r="A160" s="3" t="s">
        <v>168</v>
      </c>
      <c r="B160" s="3" t="str">
        <f aca="false">IF(COUNTIF(Final_CB_I6_V5!$B$2:$B$834,A160)&gt;=1,"YES","NO")</f>
        <v>YES</v>
      </c>
      <c r="C160" s="3" t="s">
        <v>551</v>
      </c>
      <c r="D160" s="3" t="str">
        <f aca="false">IF(COUNTIF(Final_CB_I6_V5!$C$2:$C$834,C160)&gt;=1,"YES","NO")</f>
        <v>YES</v>
      </c>
      <c r="G160" s="4"/>
      <c r="H160" s="4"/>
    </row>
    <row r="161" customFormat="false" ht="15.75" hidden="false" customHeight="false" outlineLevel="0" collapsed="false">
      <c r="A161" s="3" t="s">
        <v>170</v>
      </c>
      <c r="B161" s="3" t="str">
        <f aca="false">IF(COUNTIF(Final_CB_I6_V5!$B$2:$B$834,A161)&gt;=1,"YES","NO")</f>
        <v>YES</v>
      </c>
      <c r="C161" s="3" t="s">
        <v>552</v>
      </c>
      <c r="D161" s="3" t="str">
        <f aca="false">IF(COUNTIF(Final_CB_I6_V5!$C$2:$C$834,C161)&gt;=1,"YES","NO")</f>
        <v>YES</v>
      </c>
      <c r="G161" s="4"/>
      <c r="H161" s="4"/>
    </row>
    <row r="162" customFormat="false" ht="15.75" hidden="false" customHeight="false" outlineLevel="0" collapsed="false">
      <c r="A162" s="3" t="s">
        <v>188</v>
      </c>
      <c r="B162" s="3" t="str">
        <f aca="false">IF(COUNTIF(Final_CB_I6_V5!$B$2:$B$834,A162)&gt;=1,"YES","NO")</f>
        <v>YES</v>
      </c>
      <c r="C162" s="3" t="s">
        <v>553</v>
      </c>
      <c r="D162" s="3" t="str">
        <f aca="false">IF(COUNTIF(Final_CB_I6_V5!$C$2:$C$834,C162)&gt;=1,"YES","NO")</f>
        <v>YES</v>
      </c>
      <c r="G162" s="4"/>
      <c r="H162" s="4"/>
    </row>
    <row r="163" customFormat="false" ht="15.75" hidden="false" customHeight="false" outlineLevel="0" collapsed="false">
      <c r="A163" s="3" t="s">
        <v>171</v>
      </c>
      <c r="B163" s="3" t="str">
        <f aca="false">IF(COUNTIF(Final_CB_I6_V5!$B$2:$B$834,A163)&gt;=1,"YES","NO")</f>
        <v>YES</v>
      </c>
      <c r="C163" s="3" t="s">
        <v>554</v>
      </c>
      <c r="D163" s="3" t="str">
        <f aca="false">IF(COUNTIF(Final_CB_I6_V5!$C$2:$C$834,C163)&gt;=1,"YES","NO")</f>
        <v>YES</v>
      </c>
      <c r="G163" s="4"/>
      <c r="H163" s="4"/>
    </row>
    <row r="164" customFormat="false" ht="15.75" hidden="false" customHeight="false" outlineLevel="0" collapsed="false">
      <c r="A164" s="3" t="s">
        <v>173</v>
      </c>
      <c r="B164" s="3" t="str">
        <f aca="false">IF(COUNTIF(Final_CB_I6_V5!$B$2:$B$834,A164)&gt;=1,"YES","NO")</f>
        <v>YES</v>
      </c>
      <c r="C164" s="3" t="s">
        <v>555</v>
      </c>
      <c r="D164" s="3" t="str">
        <f aca="false">IF(COUNTIF(Final_CB_I6_V5!$C$2:$C$834,C164)&gt;=1,"YES","NO")</f>
        <v>YES</v>
      </c>
      <c r="G164" s="4"/>
      <c r="H164" s="4"/>
    </row>
    <row r="165" customFormat="false" ht="15.75" hidden="false" customHeight="false" outlineLevel="0" collapsed="false">
      <c r="A165" s="3" t="s">
        <v>177</v>
      </c>
      <c r="B165" s="3" t="str">
        <f aca="false">IF(COUNTIF(Final_CB_I6_V5!$B$2:$B$834,A165)&gt;=1,"YES","NO")</f>
        <v>YES</v>
      </c>
      <c r="C165" s="3" t="s">
        <v>556</v>
      </c>
      <c r="D165" s="3" t="str">
        <f aca="false">IF(COUNTIF(Final_CB_I6_V5!$C$2:$C$834,C165)&gt;=1,"YES","NO")</f>
        <v>YES</v>
      </c>
      <c r="G165" s="4"/>
      <c r="H165" s="4"/>
    </row>
    <row r="166" customFormat="false" ht="15.75" hidden="false" customHeight="false" outlineLevel="0" collapsed="false">
      <c r="A166" s="3" t="s">
        <v>195</v>
      </c>
      <c r="B166" s="3" t="str">
        <f aca="false">IF(COUNTIF(Final_CB_I6_V5!$B$2:$B$834,A166)&gt;=1,"YES","NO")</f>
        <v>YES</v>
      </c>
      <c r="C166" s="3" t="s">
        <v>557</v>
      </c>
      <c r="D166" s="3" t="str">
        <f aca="false">IF(COUNTIF(Final_CB_I6_V5!$C$2:$C$834,C166)&gt;=1,"YES","NO")</f>
        <v>YES</v>
      </c>
      <c r="G166" s="4"/>
      <c r="H166" s="4"/>
    </row>
    <row r="167" customFormat="false" ht="15.75" hidden="false" customHeight="false" outlineLevel="0" collapsed="false">
      <c r="A167" s="3" t="s">
        <v>179</v>
      </c>
      <c r="B167" s="3" t="str">
        <f aca="false">IF(COUNTIF(Final_CB_I6_V5!$B$2:$B$834,A167)&gt;=1,"YES","NO")</f>
        <v>YES</v>
      </c>
      <c r="C167" s="3" t="s">
        <v>558</v>
      </c>
      <c r="D167" s="3" t="str">
        <f aca="false">IF(COUNTIF(Final_CB_I6_V5!$C$2:$C$834,C167)&gt;=1,"YES","NO")</f>
        <v>YES</v>
      </c>
      <c r="G167" s="4"/>
      <c r="H167" s="4"/>
    </row>
    <row r="168" customFormat="false" ht="15.75" hidden="false" customHeight="false" outlineLevel="0" collapsed="false">
      <c r="A168" s="3" t="s">
        <v>180</v>
      </c>
      <c r="B168" s="3" t="str">
        <f aca="false">IF(COUNTIF(Final_CB_I6_V5!$B$2:$B$834,A168)&gt;=1,"YES","NO")</f>
        <v>YES</v>
      </c>
      <c r="C168" s="3" t="s">
        <v>187</v>
      </c>
      <c r="D168" s="3" t="str">
        <f aca="false">IF(COUNTIF(Final_CB_I6_V5!$C$2:$C$834,C168)&gt;=1,"YES","NO")</f>
        <v>YES</v>
      </c>
      <c r="G168" s="4"/>
      <c r="H168" s="4"/>
    </row>
    <row r="169" customFormat="false" ht="15.75" hidden="false" customHeight="false" outlineLevel="0" collapsed="false">
      <c r="A169" s="3" t="s">
        <v>559</v>
      </c>
      <c r="B169" s="3" t="str">
        <f aca="false">IF(COUNTIF(Final_CB_I6_V5!$B$2:$B$834,A169)&gt;=1,"YES","NO")</f>
        <v>YES</v>
      </c>
      <c r="C169" s="3" t="s">
        <v>560</v>
      </c>
      <c r="D169" s="3" t="str">
        <f aca="false">IF(COUNTIF(Final_CB_I6_V5!$C$2:$C$834,C169)&gt;=1,"YES","NO")</f>
        <v>YES</v>
      </c>
      <c r="G169" s="4"/>
      <c r="H169" s="4"/>
    </row>
    <row r="170" customFormat="false" ht="15.75" hidden="false" customHeight="false" outlineLevel="0" collapsed="false">
      <c r="A170" s="3" t="s">
        <v>545</v>
      </c>
      <c r="B170" s="3" t="str">
        <f aca="false">IF(COUNTIF(Final_CB_I6_V5!$B$2:$B$834,A170)&gt;=1,"YES","NO")</f>
        <v>YES</v>
      </c>
      <c r="C170" s="3" t="s">
        <v>561</v>
      </c>
      <c r="D170" s="3" t="str">
        <f aca="false">IF(COUNTIF(Final_CB_I6_V5!$C$2:$C$834,C170)&gt;=1,"YES","NO")</f>
        <v>YES</v>
      </c>
      <c r="G170" s="4"/>
      <c r="H170" s="4"/>
    </row>
    <row r="171" customFormat="false" ht="15.75" hidden="false" customHeight="false" outlineLevel="0" collapsed="false">
      <c r="A171" s="3" t="s">
        <v>562</v>
      </c>
      <c r="B171" s="3" t="str">
        <f aca="false">IF(COUNTIF(Final_CB_I6_V5!$B$2:$B$834,A171)&gt;=1,"YES","NO")</f>
        <v>YES</v>
      </c>
      <c r="C171" s="3" t="s">
        <v>563</v>
      </c>
      <c r="D171" s="3" t="str">
        <f aca="false">IF(COUNTIF(Final_CB_I6_V5!$C$2:$C$834,C171)&gt;=1,"YES","NO")</f>
        <v>YES</v>
      </c>
      <c r="G171" s="4"/>
      <c r="H171" s="4"/>
    </row>
    <row r="172" customFormat="false" ht="15.75" hidden="false" customHeight="false" outlineLevel="0" collapsed="false">
      <c r="A172" s="3" t="s">
        <v>546</v>
      </c>
      <c r="B172" s="3" t="str">
        <f aca="false">IF(COUNTIF(Final_CB_I6_V5!$B$2:$B$834,A172)&gt;=1,"YES","NO")</f>
        <v>YES</v>
      </c>
      <c r="C172" s="3" t="s">
        <v>564</v>
      </c>
      <c r="D172" s="3" t="str">
        <f aca="false">IF(COUNTIF(Final_CB_I6_V5!$C$2:$C$834,C172)&gt;=1,"YES","NO")</f>
        <v>YES</v>
      </c>
      <c r="G172" s="4"/>
      <c r="H172" s="4"/>
    </row>
    <row r="173" customFormat="false" ht="15.75" hidden="false" customHeight="false" outlineLevel="0" collapsed="false">
      <c r="A173" s="3" t="s">
        <v>201</v>
      </c>
      <c r="B173" s="3" t="str">
        <f aca="false">IF(COUNTIF(Final_CB_I6_V5!$B$2:$B$834,A173)&gt;=1,"YES","NO")</f>
        <v>YES</v>
      </c>
      <c r="C173" s="3" t="s">
        <v>565</v>
      </c>
      <c r="D173" s="3" t="str">
        <f aca="false">IF(COUNTIF(Final_CB_I6_V5!$C$2:$C$834,C173)&gt;=1,"YES","NO")</f>
        <v>YES</v>
      </c>
      <c r="G173" s="4"/>
      <c r="H173" s="4"/>
    </row>
    <row r="174" customFormat="false" ht="15.75" hidden="false" customHeight="false" outlineLevel="0" collapsed="false">
      <c r="A174" s="3" t="s">
        <v>203</v>
      </c>
      <c r="B174" s="3" t="str">
        <f aca="false">IF(COUNTIF(Final_CB_I6_V5!$B$2:$B$834,A174)&gt;=1,"YES","NO")</f>
        <v>YES</v>
      </c>
      <c r="C174" s="3" t="s">
        <v>566</v>
      </c>
      <c r="D174" s="3" t="str">
        <f aca="false">IF(COUNTIF(Final_CB_I6_V5!$C$2:$C$834,C174)&gt;=1,"YES","NO")</f>
        <v>YES</v>
      </c>
      <c r="G174" s="4"/>
      <c r="H174" s="4"/>
    </row>
    <row r="175" customFormat="false" ht="15.75" hidden="false" customHeight="false" outlineLevel="0" collapsed="false">
      <c r="A175" s="3" t="s">
        <v>567</v>
      </c>
      <c r="B175" s="3" t="str">
        <f aca="false">IF(COUNTIF(Final_CB_I6_V5!$B$2:$B$834,A175)&gt;=1,"YES","NO")</f>
        <v>YES</v>
      </c>
      <c r="C175" s="3" t="s">
        <v>568</v>
      </c>
      <c r="D175" s="3" t="str">
        <f aca="false">IF(COUNTIF(Final_CB_I6_V5!$C$2:$C$834,C175)&gt;=1,"YES","NO")</f>
        <v>YES</v>
      </c>
      <c r="G175" s="4"/>
      <c r="H175" s="4"/>
    </row>
    <row r="176" customFormat="false" ht="15.75" hidden="false" customHeight="false" outlineLevel="0" collapsed="false">
      <c r="A176" s="3" t="s">
        <v>569</v>
      </c>
      <c r="B176" s="3" t="str">
        <f aca="false">IF(COUNTIF(Final_CB_I6_V5!$B$2:$B$834,A176)&gt;=1,"YES","NO")</f>
        <v>YES</v>
      </c>
      <c r="C176" s="3" t="s">
        <v>570</v>
      </c>
      <c r="D176" s="3" t="str">
        <f aca="false">IF(COUNTIF(Final_CB_I6_V5!$C$2:$C$834,C176)&gt;=1,"YES","NO")</f>
        <v>YES</v>
      </c>
      <c r="G176" s="4"/>
      <c r="H176" s="4"/>
    </row>
    <row r="177" customFormat="false" ht="15.75" hidden="false" customHeight="false" outlineLevel="0" collapsed="false">
      <c r="A177" s="3" t="s">
        <v>209</v>
      </c>
      <c r="B177" s="3" t="str">
        <f aca="false">IF(COUNTIF(Final_CB_I6_V5!$B$2:$B$834,A177)&gt;=1,"YES","NO")</f>
        <v>YES</v>
      </c>
      <c r="C177" s="3" t="s">
        <v>571</v>
      </c>
      <c r="D177" s="3" t="str">
        <f aca="false">IF(COUNTIF(Final_CB_I6_V5!$C$2:$C$834,C177)&gt;=1,"YES","NO")</f>
        <v>YES</v>
      </c>
      <c r="G177" s="4"/>
      <c r="H177" s="4"/>
    </row>
    <row r="178" customFormat="false" ht="15.75" hidden="false" customHeight="false" outlineLevel="0" collapsed="false">
      <c r="A178" s="3" t="s">
        <v>572</v>
      </c>
      <c r="B178" s="3" t="str">
        <f aca="false">IF(COUNTIF(Final_CB_I6_V5!$B$2:$B$834,A178)&gt;=1,"YES","NO")</f>
        <v>YES</v>
      </c>
      <c r="C178" s="3" t="s">
        <v>573</v>
      </c>
      <c r="D178" s="3" t="str">
        <f aca="false">IF(COUNTIF(Final_CB_I6_V5!$C$2:$C$834,C178)&gt;=1,"YES","NO")</f>
        <v>YES</v>
      </c>
      <c r="G178" s="4"/>
      <c r="H178" s="4"/>
    </row>
    <row r="179" customFormat="false" ht="15.75" hidden="false" customHeight="false" outlineLevel="0" collapsed="false">
      <c r="A179" s="3" t="s">
        <v>550</v>
      </c>
      <c r="B179" s="3" t="str">
        <f aca="false">IF(COUNTIF(Final_CB_I6_V5!$B$2:$B$834,A179)&gt;=1,"YES","NO")</f>
        <v>YES</v>
      </c>
      <c r="C179" s="3" t="s">
        <v>574</v>
      </c>
      <c r="D179" s="3" t="str">
        <f aca="false">IF(COUNTIF(Final_CB_I6_V5!$C$2:$C$834,C179)&gt;=1,"YES","NO")</f>
        <v>YES</v>
      </c>
      <c r="G179" s="4"/>
      <c r="H179" s="4"/>
    </row>
    <row r="180" customFormat="false" ht="15.75" hidden="false" customHeight="false" outlineLevel="0" collapsed="false">
      <c r="A180" s="3" t="s">
        <v>551</v>
      </c>
      <c r="B180" s="3" t="str">
        <f aca="false">IF(COUNTIF(Final_CB_I6_V5!$B$2:$B$834,A180)&gt;=1,"YES","NO")</f>
        <v>YES</v>
      </c>
      <c r="C180" s="3" t="s">
        <v>575</v>
      </c>
      <c r="D180" s="3" t="str">
        <f aca="false">IF(COUNTIF(Final_CB_I6_V5!$C$2:$C$834,C180)&gt;=1,"YES","NO")</f>
        <v>YES</v>
      </c>
      <c r="G180" s="4"/>
      <c r="H180" s="4"/>
    </row>
    <row r="181" customFormat="false" ht="15.75" hidden="false" customHeight="false" outlineLevel="0" collapsed="false">
      <c r="A181" s="3" t="s">
        <v>555</v>
      </c>
      <c r="B181" s="3" t="str">
        <f aca="false">IF(COUNTIF(Final_CB_I6_V5!$B$2:$B$834,A181)&gt;=1,"YES","NO")</f>
        <v>YES</v>
      </c>
      <c r="C181" s="3" t="s">
        <v>576</v>
      </c>
      <c r="D181" s="3" t="str">
        <f aca="false">IF(COUNTIF(Final_CB_I6_V5!$C$2:$C$834,C181)&gt;=1,"YES","NO")</f>
        <v>YES</v>
      </c>
      <c r="G181" s="4"/>
      <c r="H181" s="4"/>
    </row>
    <row r="182" customFormat="false" ht="15.75" hidden="false" customHeight="false" outlineLevel="0" collapsed="false">
      <c r="A182" s="3" t="s">
        <v>556</v>
      </c>
      <c r="B182" s="3" t="str">
        <f aca="false">IF(COUNTIF(Final_CB_I6_V5!$B$2:$B$834,A182)&gt;=1,"YES","NO")</f>
        <v>YES</v>
      </c>
      <c r="C182" s="3" t="s">
        <v>577</v>
      </c>
      <c r="D182" s="3" t="str">
        <f aca="false">IF(COUNTIF(Final_CB_I6_V5!$C$2:$C$834,C182)&gt;=1,"YES","NO")</f>
        <v>YES</v>
      </c>
      <c r="G182" s="4"/>
      <c r="H182" s="4"/>
    </row>
    <row r="183" customFormat="false" ht="15.75" hidden="false" customHeight="false" outlineLevel="0" collapsed="false">
      <c r="A183" s="3" t="s">
        <v>187</v>
      </c>
      <c r="B183" s="3" t="str">
        <f aca="false">IF(COUNTIF(Final_CB_I6_V5!$B$2:$B$834,A183)&gt;=1,"YES","NO")</f>
        <v>YES</v>
      </c>
      <c r="C183" s="3" t="s">
        <v>210</v>
      </c>
      <c r="D183" s="3" t="str">
        <f aca="false">IF(COUNTIF(Final_CB_I6_V5!$C$2:$C$834,C183)&gt;=1,"YES","NO")</f>
        <v>YES</v>
      </c>
      <c r="G183" s="4"/>
      <c r="H183" s="4"/>
    </row>
    <row r="184" customFormat="false" ht="15.75" hidden="false" customHeight="false" outlineLevel="0" collapsed="false">
      <c r="A184" s="3" t="s">
        <v>560</v>
      </c>
      <c r="B184" s="3" t="str">
        <f aca="false">IF(COUNTIF(Final_CB_I6_V5!$B$2:$B$834,A184)&gt;=1,"YES","NO")</f>
        <v>YES</v>
      </c>
      <c r="C184" s="3" t="s">
        <v>578</v>
      </c>
      <c r="D184" s="3" t="str">
        <f aca="false">IF(COUNTIF(Final_CB_I6_V5!$C$2:$C$834,C184)&gt;=1,"YES","NO")</f>
        <v>YES</v>
      </c>
      <c r="G184" s="4"/>
      <c r="H184" s="4"/>
    </row>
    <row r="185" customFormat="false" ht="15.75" hidden="false" customHeight="false" outlineLevel="0" collapsed="false">
      <c r="A185" s="3" t="s">
        <v>561</v>
      </c>
      <c r="B185" s="3" t="str">
        <f aca="false">IF(COUNTIF(Final_CB_I6_V5!$B$2:$B$834,A185)&gt;=1,"YES","NO")</f>
        <v>YES</v>
      </c>
      <c r="C185" s="3" t="s">
        <v>579</v>
      </c>
      <c r="D185" s="3" t="str">
        <f aca="false">IF(COUNTIF(Final_CB_I6_V5!$C$2:$C$834,C185)&gt;=1,"YES","NO")</f>
        <v>YES</v>
      </c>
      <c r="G185" s="4"/>
      <c r="H185" s="4"/>
    </row>
    <row r="186" customFormat="false" ht="15.75" hidden="false" customHeight="false" outlineLevel="0" collapsed="false">
      <c r="A186" s="3" t="s">
        <v>563</v>
      </c>
      <c r="B186" s="3" t="str">
        <f aca="false">IF(COUNTIF(Final_CB_I6_V5!$B$2:$B$834,A186)&gt;=1,"YES","NO")</f>
        <v>YES</v>
      </c>
      <c r="C186" s="3" t="s">
        <v>580</v>
      </c>
      <c r="D186" s="3" t="str">
        <f aca="false">IF(COUNTIF(Final_CB_I6_V5!$C$2:$C$834,C186)&gt;=1,"YES","NO")</f>
        <v>YES</v>
      </c>
      <c r="G186" s="4"/>
      <c r="H186" s="4"/>
    </row>
    <row r="187" customFormat="false" ht="15.75" hidden="false" customHeight="false" outlineLevel="0" collapsed="false">
      <c r="A187" s="3" t="s">
        <v>581</v>
      </c>
      <c r="B187" s="3" t="str">
        <f aca="false">IF(COUNTIF(Final_CB_I6_V5!$B$2:$B$834,A187)&gt;=1,"YES","NO")</f>
        <v>YES</v>
      </c>
      <c r="C187" s="3" t="s">
        <v>582</v>
      </c>
      <c r="D187" s="3" t="str">
        <f aca="false">IF(COUNTIF(Final_CB_I6_V5!$C$2:$C$834,C187)&gt;=1,"YES","NO")</f>
        <v>YES</v>
      </c>
      <c r="G187" s="4"/>
      <c r="H187" s="4"/>
    </row>
    <row r="188" customFormat="false" ht="15.75" hidden="false" customHeight="false" outlineLevel="0" collapsed="false">
      <c r="A188" s="3" t="s">
        <v>583</v>
      </c>
      <c r="B188" s="3" t="str">
        <f aca="false">IF(COUNTIF(Final_CB_I6_V5!$B$2:$B$834,A188)&gt;=1,"YES","NO")</f>
        <v>YES</v>
      </c>
      <c r="C188" s="3" t="s">
        <v>584</v>
      </c>
      <c r="D188" s="3" t="str">
        <f aca="false">IF(COUNTIF(Final_CB_I6_V5!$C$2:$C$834,C188)&gt;=1,"YES","NO")</f>
        <v>YES</v>
      </c>
      <c r="G188" s="4"/>
      <c r="H188" s="4"/>
    </row>
    <row r="189" customFormat="false" ht="15.75" hidden="false" customHeight="false" outlineLevel="0" collapsed="false">
      <c r="A189" s="3" t="s">
        <v>585</v>
      </c>
      <c r="B189" s="3" t="str">
        <f aca="false">IF(COUNTIF(Final_CB_I6_V5!$B$2:$B$834,A189)&gt;=1,"YES","NO")</f>
        <v>YES</v>
      </c>
      <c r="C189" s="3" t="s">
        <v>586</v>
      </c>
      <c r="D189" s="3" t="str">
        <f aca="false">IF(COUNTIF(Final_CB_I6_V5!$C$2:$C$834,C189)&gt;=1,"YES","NO")</f>
        <v>YES</v>
      </c>
      <c r="G189" s="4"/>
      <c r="H189" s="4"/>
    </row>
    <row r="190" customFormat="false" ht="15.75" hidden="false" customHeight="false" outlineLevel="0" collapsed="false">
      <c r="A190" s="3" t="s">
        <v>587</v>
      </c>
      <c r="B190" s="3" t="str">
        <f aca="false">IF(COUNTIF(Final_CB_I6_V5!$B$2:$B$834,A190)&gt;=1,"YES","NO")</f>
        <v>YES</v>
      </c>
      <c r="C190" s="3" t="s">
        <v>588</v>
      </c>
      <c r="D190" s="3" t="str">
        <f aca="false">IF(COUNTIF(Final_CB_I6_V5!$C$2:$C$834,C190)&gt;=1,"YES","NO")</f>
        <v>YES</v>
      </c>
      <c r="G190" s="4"/>
      <c r="H190" s="4"/>
    </row>
    <row r="191" customFormat="false" ht="15.75" hidden="false" customHeight="false" outlineLevel="0" collapsed="false">
      <c r="A191" s="3" t="s">
        <v>566</v>
      </c>
      <c r="B191" s="3" t="str">
        <f aca="false">IF(COUNTIF(Final_CB_I6_V5!$B$2:$B$834,A191)&gt;=1,"YES","NO")</f>
        <v>YES</v>
      </c>
      <c r="C191" s="3" t="s">
        <v>589</v>
      </c>
      <c r="D191" s="3" t="str">
        <f aca="false">IF(COUNTIF(Final_CB_I6_V5!$C$2:$C$834,C191)&gt;=1,"YES","NO")</f>
        <v>YES</v>
      </c>
      <c r="G191" s="4"/>
      <c r="H191" s="4"/>
    </row>
    <row r="192" customFormat="false" ht="15.75" hidden="false" customHeight="false" outlineLevel="0" collapsed="false">
      <c r="A192" s="3" t="s">
        <v>590</v>
      </c>
      <c r="B192" s="3" t="str">
        <f aca="false">IF(COUNTIF(Final_CB_I6_V5!$B$2:$B$834,A192)&gt;=1,"YES","NO")</f>
        <v>YES</v>
      </c>
      <c r="C192" s="3" t="s">
        <v>591</v>
      </c>
      <c r="D192" s="3" t="str">
        <f aca="false">IF(COUNTIF(Final_CB_I6_V5!$C$2:$C$834,C192)&gt;=1,"YES","NO")</f>
        <v>YES</v>
      </c>
      <c r="G192" s="4"/>
      <c r="H192" s="4"/>
    </row>
    <row r="193" customFormat="false" ht="15.75" hidden="false" customHeight="false" outlineLevel="0" collapsed="false">
      <c r="A193" s="3" t="s">
        <v>592</v>
      </c>
      <c r="B193" s="3" t="str">
        <f aca="false">IF(COUNTIF(Final_CB_I6_V5!$B$2:$B$834,A193)&gt;=1,"YES","NO")</f>
        <v>YES</v>
      </c>
      <c r="C193" s="3" t="s">
        <v>593</v>
      </c>
      <c r="D193" s="3" t="str">
        <f aca="false">IF(COUNTIF(Final_CB_I6_V5!$C$2:$C$834,C193)&gt;=1,"YES","NO")</f>
        <v>YES</v>
      </c>
      <c r="G193" s="4"/>
      <c r="H193" s="4"/>
    </row>
    <row r="194" customFormat="false" ht="15.75" hidden="false" customHeight="false" outlineLevel="0" collapsed="false">
      <c r="A194" s="3" t="s">
        <v>568</v>
      </c>
      <c r="B194" s="3" t="str">
        <f aca="false">IF(COUNTIF(Final_CB_I6_V5!$B$2:$B$834,A194)&gt;=1,"YES","NO")</f>
        <v>YES</v>
      </c>
      <c r="C194" s="3" t="s">
        <v>594</v>
      </c>
      <c r="D194" s="3" t="str">
        <f aca="false">IF(COUNTIF(Final_CB_I6_V5!$C$2:$C$834,C194)&gt;=1,"YES","NO")</f>
        <v>YES</v>
      </c>
      <c r="G194" s="4"/>
      <c r="H194" s="4"/>
    </row>
    <row r="195" customFormat="false" ht="15.75" hidden="false" customHeight="false" outlineLevel="0" collapsed="false">
      <c r="A195" s="3" t="s">
        <v>571</v>
      </c>
      <c r="B195" s="3" t="str">
        <f aca="false">IF(COUNTIF(Final_CB_I6_V5!$B$2:$B$834,A195)&gt;=1,"YES","NO")</f>
        <v>YES</v>
      </c>
      <c r="C195" s="3" t="s">
        <v>595</v>
      </c>
      <c r="D195" s="3" t="str">
        <f aca="false">IF(COUNTIF(Final_CB_I6_V5!$C$2:$C$834,C195)&gt;=1,"YES","NO")</f>
        <v>YES</v>
      </c>
      <c r="G195" s="4"/>
      <c r="H195" s="4"/>
    </row>
    <row r="196" customFormat="false" ht="15.75" hidden="false" customHeight="false" outlineLevel="0" collapsed="false">
      <c r="A196" s="3" t="s">
        <v>596</v>
      </c>
      <c r="B196" s="3" t="str">
        <f aca="false">IF(COUNTIF(Final_CB_I6_V5!$B$2:$B$834,A196)&gt;=1,"YES","NO")</f>
        <v>YES</v>
      </c>
      <c r="C196" s="3" t="s">
        <v>597</v>
      </c>
      <c r="D196" s="3" t="str">
        <f aca="false">IF(COUNTIF(Final_CB_I6_V5!$C$2:$C$834,C196)&gt;=1,"YES","NO")</f>
        <v>YES</v>
      </c>
      <c r="G196" s="4"/>
      <c r="H196" s="4"/>
    </row>
    <row r="197" customFormat="false" ht="15.75" hidden="false" customHeight="false" outlineLevel="0" collapsed="false">
      <c r="A197" s="3" t="s">
        <v>598</v>
      </c>
      <c r="B197" s="3" t="str">
        <f aca="false">IF(COUNTIF(Final_CB_I6_V5!$B$2:$B$834,A197)&gt;=1,"YES","NO")</f>
        <v>YES</v>
      </c>
      <c r="C197" s="3" t="s">
        <v>599</v>
      </c>
      <c r="D197" s="3" t="str">
        <f aca="false">IF(COUNTIF(Final_CB_I6_V5!$C$2:$C$834,C197)&gt;=1,"YES","NO")</f>
        <v>YES</v>
      </c>
      <c r="G197" s="4"/>
      <c r="H197" s="4"/>
    </row>
    <row r="198" customFormat="false" ht="15.75" hidden="false" customHeight="false" outlineLevel="0" collapsed="false">
      <c r="A198" s="3" t="s">
        <v>210</v>
      </c>
      <c r="B198" s="3" t="str">
        <f aca="false">IF(COUNTIF(Final_CB_I6_V5!$B$2:$B$834,A198)&gt;=1,"YES","NO")</f>
        <v>YES</v>
      </c>
      <c r="C198" s="3" t="s">
        <v>600</v>
      </c>
      <c r="D198" s="3" t="str">
        <f aca="false">IF(COUNTIF(Final_CB_I6_V5!$C$2:$C$834,C198)&gt;=1,"YES","NO")</f>
        <v>YES</v>
      </c>
      <c r="G198" s="4"/>
      <c r="H198" s="4"/>
    </row>
    <row r="199" customFormat="false" ht="15.75" hidden="false" customHeight="false" outlineLevel="0" collapsed="false">
      <c r="A199" s="3" t="s">
        <v>601</v>
      </c>
      <c r="B199" s="3" t="str">
        <f aca="false">IF(COUNTIF(Final_CB_I6_V5!$B$2:$B$834,A199)&gt;=1,"YES","NO")</f>
        <v>YES</v>
      </c>
      <c r="C199" s="3" t="s">
        <v>602</v>
      </c>
      <c r="D199" s="3" t="str">
        <f aca="false">IF(COUNTIF(Final_CB_I6_V5!$C$2:$C$834,C199)&gt;=1,"YES","NO")</f>
        <v>YES</v>
      </c>
      <c r="G199" s="4"/>
      <c r="H199" s="4"/>
    </row>
    <row r="200" customFormat="false" ht="15.75" hidden="false" customHeight="false" outlineLevel="0" collapsed="false">
      <c r="A200" s="3" t="s">
        <v>578</v>
      </c>
      <c r="B200" s="3" t="str">
        <f aca="false">IF(COUNTIF(Final_CB_I6_V5!$B$2:$B$834,A200)&gt;=1,"YES","NO")</f>
        <v>YES</v>
      </c>
      <c r="C200" s="3" t="s">
        <v>603</v>
      </c>
      <c r="D200" s="3" t="str">
        <f aca="false">IF(COUNTIF(Final_CB_I6_V5!$C$2:$C$834,C200)&gt;=1,"YES","NO")</f>
        <v>YES</v>
      </c>
      <c r="G200" s="4"/>
      <c r="H200" s="4"/>
    </row>
    <row r="201" customFormat="false" ht="15.75" hidden="false" customHeight="false" outlineLevel="0" collapsed="false">
      <c r="A201" s="3" t="s">
        <v>579</v>
      </c>
      <c r="B201" s="3" t="str">
        <f aca="false">IF(COUNTIF(Final_CB_I6_V5!$B$2:$B$834,A201)&gt;=1,"YES","NO")</f>
        <v>YES</v>
      </c>
      <c r="C201" s="3" t="s">
        <v>604</v>
      </c>
      <c r="D201" s="3" t="str">
        <f aca="false">IF(COUNTIF(Final_CB_I6_V5!$C$2:$C$834,C201)&gt;=1,"YES","NO")</f>
        <v>YES</v>
      </c>
      <c r="G201" s="4"/>
      <c r="H201" s="4"/>
    </row>
    <row r="202" customFormat="false" ht="15.75" hidden="false" customHeight="false" outlineLevel="0" collapsed="false">
      <c r="A202" s="3" t="s">
        <v>584</v>
      </c>
      <c r="B202" s="3" t="str">
        <f aca="false">IF(COUNTIF(Final_CB_I6_V5!$B$2:$B$834,A202)&gt;=1,"YES","NO")</f>
        <v>YES</v>
      </c>
      <c r="C202" s="3" t="s">
        <v>605</v>
      </c>
      <c r="D202" s="3" t="str">
        <f aca="false">IF(COUNTIF(Final_CB_I6_V5!$C$2:$C$834,C202)&gt;=1,"YES","NO")</f>
        <v>YES</v>
      </c>
      <c r="G202" s="4"/>
      <c r="H202" s="4"/>
    </row>
    <row r="203" customFormat="false" ht="15.75" hidden="false" customHeight="false" outlineLevel="0" collapsed="false">
      <c r="A203" s="3" t="s">
        <v>589</v>
      </c>
      <c r="B203" s="3" t="str">
        <f aca="false">IF(COUNTIF(Final_CB_I6_V5!$B$2:$B$834,A203)&gt;=1,"YES","NO")</f>
        <v>YES</v>
      </c>
      <c r="C203" s="3" t="s">
        <v>606</v>
      </c>
      <c r="D203" s="3" t="str">
        <f aca="false">IF(COUNTIF(Final_CB_I6_V5!$C$2:$C$834,C203)&gt;=1,"YES","NO")</f>
        <v>YES</v>
      </c>
      <c r="G203" s="4"/>
      <c r="H203" s="4"/>
    </row>
    <row r="204" customFormat="false" ht="15.75" hidden="false" customHeight="false" outlineLevel="0" collapsed="false">
      <c r="A204" s="3" t="s">
        <v>595</v>
      </c>
      <c r="B204" s="3" t="str">
        <f aca="false">IF(COUNTIF(Final_CB_I6_V5!$B$2:$B$834,A204)&gt;=1,"YES","NO")</f>
        <v>YES</v>
      </c>
      <c r="C204" s="3" t="s">
        <v>607</v>
      </c>
      <c r="D204" s="3" t="str">
        <f aca="false">IF(COUNTIF(Final_CB_I6_V5!$C$2:$C$834,C204)&gt;=1,"YES","NO")</f>
        <v>YES</v>
      </c>
      <c r="G204" s="4"/>
      <c r="H204" s="4"/>
    </row>
    <row r="205" customFormat="false" ht="15.75" hidden="false" customHeight="false" outlineLevel="0" collapsed="false">
      <c r="A205" s="3" t="s">
        <v>597</v>
      </c>
      <c r="B205" s="3" t="str">
        <f aca="false">IF(COUNTIF(Final_CB_I6_V5!$B$2:$B$834,A205)&gt;=1,"YES","NO")</f>
        <v>YES</v>
      </c>
      <c r="C205" s="3" t="s">
        <v>608</v>
      </c>
      <c r="D205" s="3" t="str">
        <f aca="false">IF(COUNTIF(Final_CB_I6_V5!$C$2:$C$834,C205)&gt;=1,"YES","NO")</f>
        <v>YES</v>
      </c>
      <c r="G205" s="4"/>
      <c r="H205" s="4"/>
    </row>
    <row r="206" customFormat="false" ht="15.75" hidden="false" customHeight="false" outlineLevel="0" collapsed="false">
      <c r="A206" s="3" t="s">
        <v>599</v>
      </c>
      <c r="B206" s="3" t="str">
        <f aca="false">IF(COUNTIF(Final_CB_I6_V5!$B$2:$B$834,A206)&gt;=1,"YES","NO")</f>
        <v>YES</v>
      </c>
      <c r="C206" s="3" t="s">
        <v>609</v>
      </c>
      <c r="D206" s="3" t="str">
        <f aca="false">IF(COUNTIF(Final_CB_I6_V5!$C$2:$C$834,C206)&gt;=1,"YES","NO")</f>
        <v>YES</v>
      </c>
      <c r="G206" s="4"/>
      <c r="H206" s="4"/>
    </row>
    <row r="207" customFormat="false" ht="15.75" hidden="false" customHeight="false" outlineLevel="0" collapsed="false">
      <c r="A207" s="3" t="s">
        <v>610</v>
      </c>
      <c r="B207" s="3" t="str">
        <f aca="false">IF(COUNTIF(Final_CB_I6_V5!$B$2:$B$834,A207)&gt;=1,"YES","NO")</f>
        <v>YES</v>
      </c>
      <c r="C207" s="3" t="s">
        <v>611</v>
      </c>
      <c r="D207" s="3" t="str">
        <f aca="false">IF(COUNTIF(Final_CB_I6_V5!$C$2:$C$834,C207)&gt;=1,"YES","NO")</f>
        <v>YES</v>
      </c>
      <c r="G207" s="4"/>
      <c r="H207" s="4"/>
    </row>
    <row r="208" customFormat="false" ht="15.75" hidden="false" customHeight="false" outlineLevel="0" collapsed="false">
      <c r="A208" s="3" t="s">
        <v>602</v>
      </c>
      <c r="B208" s="3" t="str">
        <f aca="false">IF(COUNTIF(Final_CB_I6_V5!$B$2:$B$834,A208)&gt;=1,"YES","NO")</f>
        <v>YES</v>
      </c>
      <c r="C208" s="3" t="s">
        <v>612</v>
      </c>
      <c r="D208" s="3" t="str">
        <f aca="false">IF(COUNTIF(Final_CB_I6_V5!$C$2:$C$834,C208)&gt;=1,"YES","NO")</f>
        <v>YES</v>
      </c>
      <c r="G208" s="4"/>
      <c r="H208" s="4"/>
    </row>
    <row r="209" customFormat="false" ht="15.75" hidden="false" customHeight="false" outlineLevel="0" collapsed="false">
      <c r="A209" s="3" t="s">
        <v>604</v>
      </c>
      <c r="B209" s="3" t="str">
        <f aca="false">IF(COUNTIF(Final_CB_I6_V5!$B$2:$B$834,A209)&gt;=1,"YES","NO")</f>
        <v>YES</v>
      </c>
      <c r="C209" s="3" t="s">
        <v>613</v>
      </c>
      <c r="D209" s="3" t="str">
        <f aca="false">IF(COUNTIF(Final_CB_I6_V5!$C$2:$C$834,C209)&gt;=1,"YES","NO")</f>
        <v>YES</v>
      </c>
      <c r="G209" s="4"/>
      <c r="H209" s="4"/>
    </row>
    <row r="210" customFormat="false" ht="15.75" hidden="false" customHeight="false" outlineLevel="0" collapsed="false">
      <c r="A210" s="3" t="s">
        <v>614</v>
      </c>
      <c r="B210" s="3" t="str">
        <f aca="false">IF(COUNTIF(Final_CB_I6_V5!$B$2:$B$834,A210)&gt;=1,"YES","NO")</f>
        <v>YES</v>
      </c>
      <c r="C210" s="3" t="s">
        <v>615</v>
      </c>
      <c r="D210" s="3" t="str">
        <f aca="false">IF(COUNTIF(Final_CB_I6_V5!$C$2:$C$834,C210)&gt;=1,"YES","NO")</f>
        <v>YES</v>
      </c>
      <c r="G210" s="4"/>
      <c r="H210" s="4"/>
    </row>
    <row r="211" customFormat="false" ht="15.75" hidden="false" customHeight="false" outlineLevel="0" collapsed="false">
      <c r="A211" s="3" t="s">
        <v>606</v>
      </c>
      <c r="B211" s="3" t="str">
        <f aca="false">IF(COUNTIF(Final_CB_I6_V5!$B$2:$B$834,A211)&gt;=1,"YES","NO")</f>
        <v>YES</v>
      </c>
      <c r="C211" s="3" t="s">
        <v>616</v>
      </c>
      <c r="D211" s="3" t="str">
        <f aca="false">IF(COUNTIF(Final_CB_I6_V5!$C$2:$C$834,C211)&gt;=1,"YES","NO")</f>
        <v>YES</v>
      </c>
      <c r="G211" s="4"/>
      <c r="H211" s="4"/>
    </row>
    <row r="212" customFormat="false" ht="15.75" hidden="false" customHeight="false" outlineLevel="0" collapsed="false">
      <c r="A212" s="3" t="s">
        <v>607</v>
      </c>
      <c r="B212" s="3" t="str">
        <f aca="false">IF(COUNTIF(Final_CB_I6_V5!$B$2:$B$834,A212)&gt;=1,"YES","NO")</f>
        <v>YES</v>
      </c>
      <c r="C212" s="3" t="s">
        <v>617</v>
      </c>
      <c r="D212" s="3" t="str">
        <f aca="false">IF(COUNTIF(Final_CB_I6_V5!$C$2:$C$834,C212)&gt;=1,"YES","NO")</f>
        <v>YES</v>
      </c>
      <c r="G212" s="4"/>
      <c r="H212" s="4"/>
    </row>
    <row r="213" customFormat="false" ht="15.75" hidden="false" customHeight="false" outlineLevel="0" collapsed="false">
      <c r="A213" s="3" t="s">
        <v>609</v>
      </c>
      <c r="B213" s="3" t="str">
        <f aca="false">IF(COUNTIF(Final_CB_I6_V5!$B$2:$B$834,A213)&gt;=1,"YES","NO")</f>
        <v>YES</v>
      </c>
      <c r="C213" s="3" t="s">
        <v>618</v>
      </c>
      <c r="D213" s="3" t="str">
        <f aca="false">IF(COUNTIF(Final_CB_I6_V5!$C$2:$C$834,C213)&gt;=1,"YES","NO")</f>
        <v>YES</v>
      </c>
      <c r="G213" s="4"/>
      <c r="H213" s="4"/>
    </row>
    <row r="214" customFormat="false" ht="15.75" hidden="false" customHeight="false" outlineLevel="0" collapsed="false">
      <c r="A214" s="3" t="s">
        <v>611</v>
      </c>
      <c r="B214" s="3" t="str">
        <f aca="false">IF(COUNTIF(Final_CB_I6_V5!$B$2:$B$834,A214)&gt;=1,"YES","NO")</f>
        <v>YES</v>
      </c>
      <c r="C214" s="3" t="s">
        <v>619</v>
      </c>
      <c r="D214" s="3" t="str">
        <f aca="false">IF(COUNTIF(Final_CB_I6_V5!$C$2:$C$834,C214)&gt;=1,"YES","NO")</f>
        <v>YES</v>
      </c>
      <c r="G214" s="4"/>
      <c r="H214" s="4"/>
    </row>
    <row r="215" customFormat="false" ht="15.75" hidden="false" customHeight="false" outlineLevel="0" collapsed="false">
      <c r="A215" s="3" t="s">
        <v>612</v>
      </c>
      <c r="B215" s="3" t="str">
        <f aca="false">IF(COUNTIF(Final_CB_I6_V5!$B$2:$B$834,A215)&gt;=1,"YES","NO")</f>
        <v>YES</v>
      </c>
      <c r="C215" s="3" t="s">
        <v>254</v>
      </c>
      <c r="D215" s="3" t="str">
        <f aca="false">IF(COUNTIF(Final_CB_I6_V5!$C$2:$C$834,C215)&gt;=1,"YES","NO")</f>
        <v>YES</v>
      </c>
      <c r="G215" s="4"/>
      <c r="H215" s="4"/>
    </row>
    <row r="216" customFormat="false" ht="15.75" hidden="false" customHeight="false" outlineLevel="0" collapsed="false">
      <c r="A216" s="3" t="s">
        <v>620</v>
      </c>
      <c r="B216" s="3" t="str">
        <f aca="false">IF(COUNTIF(Final_CB_I6_V5!$B$2:$B$834,A216)&gt;=1,"YES","NO")</f>
        <v>YES</v>
      </c>
      <c r="C216" s="3" t="s">
        <v>621</v>
      </c>
      <c r="D216" s="3" t="str">
        <f aca="false">IF(COUNTIF(Final_CB_I6_V5!$C$2:$C$834,C216)&gt;=1,"YES","NO")</f>
        <v>YES</v>
      </c>
      <c r="G216" s="4"/>
      <c r="H216" s="4"/>
    </row>
    <row r="217" customFormat="false" ht="15.75" hidden="false" customHeight="false" outlineLevel="0" collapsed="false">
      <c r="A217" s="3" t="s">
        <v>622</v>
      </c>
      <c r="B217" s="3" t="str">
        <f aca="false">IF(COUNTIF(Final_CB_I6_V5!$B$2:$B$834,A217)&gt;=1,"YES","NO")</f>
        <v>YES</v>
      </c>
      <c r="C217" s="3" t="s">
        <v>623</v>
      </c>
      <c r="D217" s="3" t="str">
        <f aca="false">IF(COUNTIF(Final_CB_I6_V5!$C$2:$C$834,C217)&gt;=1,"YES","NO")</f>
        <v>YES</v>
      </c>
      <c r="G217" s="4"/>
      <c r="H217" s="4"/>
    </row>
    <row r="218" customFormat="false" ht="15.75" hidden="false" customHeight="false" outlineLevel="0" collapsed="false">
      <c r="A218" s="3" t="s">
        <v>624</v>
      </c>
      <c r="B218" s="3" t="str">
        <f aca="false">IF(COUNTIF(Final_CB_I6_V5!$B$2:$B$834,A218)&gt;=1,"YES","NO")</f>
        <v>YES</v>
      </c>
      <c r="C218" s="3" t="s">
        <v>625</v>
      </c>
      <c r="D218" s="3" t="str">
        <f aca="false">IF(COUNTIF(Final_CB_I6_V5!$C$2:$C$834,C218)&gt;=1,"YES","NO")</f>
        <v>YES</v>
      </c>
      <c r="G218" s="4"/>
      <c r="H218" s="4"/>
    </row>
    <row r="219" customFormat="false" ht="15.75" hidden="false" customHeight="false" outlineLevel="0" collapsed="false">
      <c r="A219" s="3" t="s">
        <v>615</v>
      </c>
      <c r="B219" s="3" t="str">
        <f aca="false">IF(COUNTIF(Final_CB_I6_V5!$B$2:$B$834,A219)&gt;=1,"YES","NO")</f>
        <v>YES</v>
      </c>
      <c r="C219" s="3" t="s">
        <v>626</v>
      </c>
      <c r="D219" s="3" t="str">
        <f aca="false">IF(COUNTIF(Final_CB_I6_V5!$C$2:$C$834,C219)&gt;=1,"YES","NO")</f>
        <v>YES</v>
      </c>
      <c r="G219" s="4"/>
      <c r="H219" s="4"/>
    </row>
    <row r="220" customFormat="false" ht="15.75" hidden="false" customHeight="false" outlineLevel="0" collapsed="false">
      <c r="A220" s="3" t="s">
        <v>616</v>
      </c>
      <c r="B220" s="3" t="str">
        <f aca="false">IF(COUNTIF(Final_CB_I6_V5!$B$2:$B$834,A220)&gt;=1,"YES","NO")</f>
        <v>YES</v>
      </c>
      <c r="C220" s="3" t="s">
        <v>627</v>
      </c>
      <c r="D220" s="3" t="str">
        <f aca="false">IF(COUNTIF(Final_CB_I6_V5!$C$2:$C$834,C220)&gt;=1,"YES","NO")</f>
        <v>YES</v>
      </c>
      <c r="G220" s="4"/>
      <c r="H220" s="4"/>
    </row>
    <row r="221" customFormat="false" ht="15.75" hidden="false" customHeight="false" outlineLevel="0" collapsed="false">
      <c r="A221" s="3" t="s">
        <v>619</v>
      </c>
      <c r="B221" s="3" t="str">
        <f aca="false">IF(COUNTIF(Final_CB_I6_V5!$B$2:$B$834,A221)&gt;=1,"YES","NO")</f>
        <v>YES</v>
      </c>
      <c r="C221" s="3" t="s">
        <v>628</v>
      </c>
      <c r="D221" s="3" t="str">
        <f aca="false">IF(COUNTIF(Final_CB_I6_V5!$C$2:$C$834,C221)&gt;=1,"YES","NO")</f>
        <v>YES</v>
      </c>
      <c r="G221" s="4"/>
      <c r="H221" s="4"/>
    </row>
    <row r="222" customFormat="false" ht="15.75" hidden="false" customHeight="false" outlineLevel="0" collapsed="false">
      <c r="A222" s="3" t="s">
        <v>629</v>
      </c>
      <c r="B222" s="3" t="str">
        <f aca="false">IF(COUNTIF(Final_CB_I6_V5!$B$2:$B$834,A222)&gt;=1,"YES","NO")</f>
        <v>YES</v>
      </c>
      <c r="C222" s="3" t="s">
        <v>630</v>
      </c>
      <c r="D222" s="3" t="str">
        <f aca="false">IF(COUNTIF(Final_CB_I6_V5!$C$2:$C$834,C222)&gt;=1,"YES","NO")</f>
        <v>YES</v>
      </c>
      <c r="G222" s="4"/>
      <c r="H222" s="4"/>
    </row>
    <row r="223" customFormat="false" ht="15.75" hidden="false" customHeight="false" outlineLevel="0" collapsed="false">
      <c r="A223" s="3" t="s">
        <v>625</v>
      </c>
      <c r="B223" s="3" t="str">
        <f aca="false">IF(COUNTIF(Final_CB_I6_V5!$B$2:$B$834,A223)&gt;=1,"YES","NO")</f>
        <v>YES</v>
      </c>
      <c r="C223" s="3" t="s">
        <v>631</v>
      </c>
      <c r="D223" s="3" t="str">
        <f aca="false">IF(COUNTIF(Final_CB_I6_V5!$C$2:$C$834,C223)&gt;=1,"YES","NO")</f>
        <v>YES</v>
      </c>
      <c r="G223" s="4"/>
      <c r="H223" s="4"/>
    </row>
    <row r="224" customFormat="false" ht="15.75" hidden="false" customHeight="false" outlineLevel="0" collapsed="false">
      <c r="A224" s="3" t="s">
        <v>627</v>
      </c>
      <c r="B224" s="3" t="str">
        <f aca="false">IF(COUNTIF(Final_CB_I6_V5!$B$2:$B$834,A224)&gt;=1,"YES","NO")</f>
        <v>YES</v>
      </c>
      <c r="C224" s="3" t="s">
        <v>632</v>
      </c>
      <c r="D224" s="3" t="str">
        <f aca="false">IF(COUNTIF(Final_CB_I6_V5!$C$2:$C$834,C224)&gt;=1,"YES","NO")</f>
        <v>YES</v>
      </c>
      <c r="G224" s="4"/>
      <c r="H224" s="4"/>
    </row>
    <row r="225" customFormat="false" ht="15.75" hidden="false" customHeight="false" outlineLevel="0" collapsed="false">
      <c r="A225" s="3" t="s">
        <v>633</v>
      </c>
      <c r="B225" s="3" t="str">
        <f aca="false">IF(COUNTIF(Final_CB_I6_V5!$B$2:$B$834,A225)&gt;=1,"YES","NO")</f>
        <v>YES</v>
      </c>
      <c r="C225" s="3" t="s">
        <v>634</v>
      </c>
      <c r="D225" s="3" t="str">
        <f aca="false">IF(COUNTIF(Final_CB_I6_V5!$C$2:$C$834,C225)&gt;=1,"YES","NO")</f>
        <v>YES</v>
      </c>
      <c r="G225" s="4"/>
      <c r="H225" s="4"/>
    </row>
    <row r="226" customFormat="false" ht="15.75" hidden="false" customHeight="false" outlineLevel="0" collapsed="false">
      <c r="A226" s="3" t="s">
        <v>271</v>
      </c>
      <c r="B226" s="3" t="str">
        <f aca="false">IF(COUNTIF(Final_CB_I6_V5!$B$2:$B$834,A226)&gt;=1,"YES","NO")</f>
        <v>YES</v>
      </c>
      <c r="C226" s="3" t="s">
        <v>635</v>
      </c>
      <c r="D226" s="3" t="str">
        <f aca="false">IF(COUNTIF(Final_CB_I6_V5!$C$2:$C$834,C226)&gt;=1,"YES","NO")</f>
        <v>YES</v>
      </c>
      <c r="G226" s="4"/>
      <c r="H226" s="4"/>
    </row>
    <row r="227" customFormat="false" ht="15.75" hidden="false" customHeight="false" outlineLevel="0" collapsed="false">
      <c r="A227" s="3" t="s">
        <v>269</v>
      </c>
      <c r="B227" s="3" t="str">
        <f aca="false">IF(COUNTIF(Final_CB_I6_V5!$B$2:$B$834,A227)&gt;=1,"YES","NO")</f>
        <v>YES</v>
      </c>
      <c r="C227" s="3" t="s">
        <v>636</v>
      </c>
      <c r="D227" s="3" t="str">
        <f aca="false">IF(COUNTIF(Final_CB_I6_V5!$C$2:$C$834,C227)&gt;=1,"YES","NO")</f>
        <v>YES</v>
      </c>
      <c r="G227" s="4"/>
      <c r="H227" s="4"/>
    </row>
    <row r="228" customFormat="false" ht="15.75" hidden="false" customHeight="false" outlineLevel="0" collapsed="false">
      <c r="A228" s="3" t="s">
        <v>270</v>
      </c>
      <c r="B228" s="3" t="str">
        <f aca="false">IF(COUNTIF(Final_CB_I6_V5!$B$2:$B$834,A228)&gt;=1,"YES","NO")</f>
        <v>YES</v>
      </c>
      <c r="C228" s="3" t="s">
        <v>637</v>
      </c>
      <c r="D228" s="3" t="str">
        <f aca="false">IF(COUNTIF(Final_CB_I6_V5!$C$2:$C$834,C228)&gt;=1,"YES","NO")</f>
        <v>YES</v>
      </c>
      <c r="G228" s="4"/>
      <c r="H228" s="4"/>
    </row>
    <row r="229" customFormat="false" ht="15.75" hidden="false" customHeight="false" outlineLevel="0" collapsed="false">
      <c r="A229" s="3" t="s">
        <v>638</v>
      </c>
      <c r="B229" s="3" t="str">
        <f aca="false">IF(COUNTIF(Final_CB_I6_V5!$B$2:$B$834,A229)&gt;=1,"YES","NO")</f>
        <v>YES</v>
      </c>
      <c r="C229" s="3" t="s">
        <v>639</v>
      </c>
      <c r="D229" s="3" t="str">
        <f aca="false">IF(COUNTIF(Final_CB_I6_V5!$C$2:$C$834,C229)&gt;=1,"YES","NO")</f>
        <v>YES</v>
      </c>
      <c r="G229" s="4"/>
      <c r="H229" s="4"/>
    </row>
    <row r="230" customFormat="false" ht="15.75" hidden="false" customHeight="false" outlineLevel="0" collapsed="false">
      <c r="A230" s="3" t="s">
        <v>640</v>
      </c>
      <c r="B230" s="3" t="str">
        <f aca="false">IF(COUNTIF(Final_CB_I6_V5!$B$2:$B$834,A230)&gt;=1,"YES","NO")</f>
        <v>YES</v>
      </c>
      <c r="C230" s="3" t="s">
        <v>641</v>
      </c>
      <c r="D230" s="3" t="str">
        <f aca="false">IF(COUNTIF(Final_CB_I6_V5!$C$2:$C$834,C230)&gt;=1,"YES","NO")</f>
        <v>YES</v>
      </c>
      <c r="G230" s="4"/>
      <c r="H230" s="4"/>
    </row>
    <row r="231" customFormat="false" ht="15.75" hidden="false" customHeight="false" outlineLevel="0" collapsed="false">
      <c r="A231" s="3" t="s">
        <v>642</v>
      </c>
      <c r="B231" s="3" t="str">
        <f aca="false">IF(COUNTIF(Final_CB_I6_V5!$B$2:$B$834,A231)&gt;=1,"YES","NO")</f>
        <v>YES</v>
      </c>
      <c r="C231" s="3" t="s">
        <v>643</v>
      </c>
      <c r="D231" s="3" t="str">
        <f aca="false">IF(COUNTIF(Final_CB_I6_V5!$C$2:$C$834,C231)&gt;=1,"YES","NO")</f>
        <v>YES</v>
      </c>
      <c r="G231" s="4"/>
      <c r="H231" s="4"/>
    </row>
    <row r="232" customFormat="false" ht="15.75" hidden="false" customHeight="false" outlineLevel="0" collapsed="false">
      <c r="A232" s="3" t="s">
        <v>273</v>
      </c>
      <c r="B232" s="3" t="str">
        <f aca="false">IF(COUNTIF(Final_CB_I6_V5!$B$2:$B$834,A232)&gt;=1,"YES","NO")</f>
        <v>YES</v>
      </c>
      <c r="C232" s="3" t="s">
        <v>644</v>
      </c>
      <c r="D232" s="3" t="str">
        <f aca="false">IF(COUNTIF(Final_CB_I6_V5!$C$2:$C$834,C232)&gt;=1,"YES","NO")</f>
        <v>YES</v>
      </c>
      <c r="G232" s="4"/>
      <c r="H232" s="4"/>
    </row>
    <row r="233" customFormat="false" ht="15.75" hidden="false" customHeight="false" outlineLevel="0" collapsed="false">
      <c r="A233" s="3" t="s">
        <v>645</v>
      </c>
      <c r="B233" s="3" t="str">
        <f aca="false">IF(COUNTIF(Final_CB_I6_V5!$B$2:$B$834,A233)&gt;=1,"YES","NO")</f>
        <v>YES</v>
      </c>
      <c r="C233" s="3" t="s">
        <v>646</v>
      </c>
      <c r="D233" s="3" t="str">
        <f aca="false">IF(COUNTIF(Final_CB_I6_V5!$C$2:$C$834,C233)&gt;=1,"YES","NO")</f>
        <v>YES</v>
      </c>
      <c r="G233" s="4"/>
      <c r="H233" s="4"/>
    </row>
    <row r="234" customFormat="false" ht="15.75" hidden="false" customHeight="false" outlineLevel="0" collapsed="false">
      <c r="A234" s="3" t="s">
        <v>647</v>
      </c>
      <c r="B234" s="3" t="str">
        <f aca="false">IF(COUNTIF(Final_CB_I6_V5!$B$2:$B$834,A234)&gt;=1,"YES","NO")</f>
        <v>YES</v>
      </c>
      <c r="C234" s="3" t="s">
        <v>633</v>
      </c>
      <c r="D234" s="3" t="str">
        <f aca="false">IF(COUNTIF(Final_CB_I6_V5!$C$2:$C$834,C234)&gt;=1,"YES","NO")</f>
        <v>YES</v>
      </c>
      <c r="G234" s="4"/>
      <c r="H234" s="4"/>
    </row>
    <row r="235" customFormat="false" ht="15.75" hidden="false" customHeight="false" outlineLevel="0" collapsed="false">
      <c r="A235" s="3" t="s">
        <v>648</v>
      </c>
      <c r="B235" s="3" t="str">
        <f aca="false">IF(COUNTIF(Final_CB_I6_V5!$B$2:$B$834,A235)&gt;=1,"YES","NO")</f>
        <v>YES</v>
      </c>
      <c r="C235" s="3" t="s">
        <v>649</v>
      </c>
      <c r="D235" s="3" t="str">
        <f aca="false">IF(COUNTIF(Final_CB_I6_V5!$C$2:$C$834,C235)&gt;=1,"YES","NO")</f>
        <v>YES</v>
      </c>
      <c r="G235" s="4"/>
      <c r="H235" s="4"/>
    </row>
    <row r="236" customFormat="false" ht="15.75" hidden="false" customHeight="false" outlineLevel="0" collapsed="false">
      <c r="B236" s="3" t="str">
        <f aca="false">IF(COUNTIF(Final_CB_I6_V5!$B$2:$B$834,A236)&gt;=1,"YES","NO")</f>
        <v>NO</v>
      </c>
      <c r="C236" s="3" t="s">
        <v>269</v>
      </c>
      <c r="D236" s="3" t="str">
        <f aca="false">IF(COUNTIF(Final_CB_I6_V5!$C$2:$C$834,C236)&gt;=1,"YES","NO")</f>
        <v>YES</v>
      </c>
      <c r="G236" s="4"/>
      <c r="H236" s="4"/>
    </row>
    <row r="237" customFormat="false" ht="15.75" hidden="false" customHeight="false" outlineLevel="0" collapsed="false">
      <c r="B237" s="3" t="str">
        <f aca="false">IF(COUNTIF(Final_CB_I6_V5!$B$2:$B$834,A237)&gt;=1,"YES","NO")</f>
        <v>NO</v>
      </c>
      <c r="C237" s="3" t="s">
        <v>270</v>
      </c>
      <c r="D237" s="3" t="str">
        <f aca="false">IF(COUNTIF(Final_CB_I6_V5!$C$2:$C$834,C237)&gt;=1,"YES","NO")</f>
        <v>YES</v>
      </c>
      <c r="G237" s="4"/>
      <c r="H237" s="4"/>
    </row>
    <row r="238" customFormat="false" ht="15.75" hidden="false" customHeight="false" outlineLevel="0" collapsed="false">
      <c r="B238" s="3" t="str">
        <f aca="false">IF(COUNTIF(Final_CB_I6_V5!$B$2:$B$834,A238)&gt;=1,"YES","NO")</f>
        <v>NO</v>
      </c>
      <c r="C238" s="3" t="s">
        <v>638</v>
      </c>
      <c r="D238" s="3" t="str">
        <f aca="false">IF(COUNTIF(Final_CB_I6_V5!$C$2:$C$834,C238)&gt;=1,"YES","NO")</f>
        <v>YES</v>
      </c>
      <c r="G238" s="4"/>
      <c r="H238" s="4"/>
    </row>
    <row r="239" customFormat="false" ht="15.75" hidden="false" customHeight="false" outlineLevel="0" collapsed="false">
      <c r="B239" s="3" t="str">
        <f aca="false">IF(COUNTIF(Final_CB_I6_V5!$B$2:$B$834,A239)&gt;=1,"YES","NO")</f>
        <v>NO</v>
      </c>
      <c r="C239" s="3" t="s">
        <v>640</v>
      </c>
      <c r="D239" s="3" t="str">
        <f aca="false">IF(COUNTIF(Final_CB_I6_V5!$C$2:$C$834,C239)&gt;=1,"YES","NO")</f>
        <v>YES</v>
      </c>
      <c r="G239" s="4"/>
      <c r="H239" s="4"/>
    </row>
    <row r="240" customFormat="false" ht="15.75" hidden="false" customHeight="false" outlineLevel="0" collapsed="false">
      <c r="B240" s="3" t="str">
        <f aca="false">IF(COUNTIF(Final_CB_I6_V5!$B$2:$B$834,A240)&gt;=1,"YES","NO")</f>
        <v>NO</v>
      </c>
      <c r="C240" s="3" t="s">
        <v>650</v>
      </c>
      <c r="D240" s="3" t="str">
        <f aca="false">IF(COUNTIF(Final_CB_I6_V5!$C$2:$C$834,C240)&gt;=1,"YES","NO")</f>
        <v>YES</v>
      </c>
      <c r="G240" s="4"/>
      <c r="H240" s="4"/>
    </row>
    <row r="241" customFormat="false" ht="15.75" hidden="false" customHeight="false" outlineLevel="0" collapsed="false">
      <c r="B241" s="3" t="str">
        <f aca="false">IF(COUNTIF(Final_CB_I6_V5!$B$2:$B$834,A241)&gt;=1,"YES","NO")</f>
        <v>NO</v>
      </c>
      <c r="C241" s="3" t="s">
        <v>651</v>
      </c>
      <c r="D241" s="3" t="str">
        <f aca="false">IF(COUNTIF(Final_CB_I6_V5!$C$2:$C$834,C241)&gt;=1,"YES","NO")</f>
        <v>YES</v>
      </c>
      <c r="G241" s="4"/>
      <c r="H241" s="4"/>
    </row>
    <row r="242" customFormat="false" ht="15.75" hidden="false" customHeight="false" outlineLevel="0" collapsed="false">
      <c r="B242" s="3" t="str">
        <f aca="false">IF(COUNTIF(Final_CB_I6_V5!$B$2:$B$834,A242)&gt;=1,"YES","NO")</f>
        <v>NO</v>
      </c>
      <c r="C242" s="3" t="s">
        <v>652</v>
      </c>
      <c r="D242" s="3" t="str">
        <f aca="false">IF(COUNTIF(Final_CB_I6_V5!$C$2:$C$834,C242)&gt;=1,"YES","NO")</f>
        <v>YES</v>
      </c>
      <c r="G242" s="4"/>
      <c r="H242" s="4"/>
    </row>
    <row r="243" customFormat="false" ht="15.75" hidden="false" customHeight="false" outlineLevel="0" collapsed="false">
      <c r="B243" s="3" t="str">
        <f aca="false">IF(COUNTIF(Final_CB_I6_V5!$B$2:$B$834,A243)&gt;=1,"YES","NO")</f>
        <v>NO</v>
      </c>
      <c r="C243" s="3" t="s">
        <v>273</v>
      </c>
      <c r="D243" s="3" t="str">
        <f aca="false">IF(COUNTIF(Final_CB_I6_V5!$C$2:$C$834,C243)&gt;=1,"YES","NO")</f>
        <v>YES</v>
      </c>
      <c r="G243" s="4"/>
      <c r="H243" s="4"/>
    </row>
    <row r="244" customFormat="false" ht="15.75" hidden="false" customHeight="false" outlineLevel="0" collapsed="false">
      <c r="B244" s="3" t="str">
        <f aca="false">IF(COUNTIF(Final_CB_I6_V5!$B$2:$B$834,A244)&gt;=1,"YES","NO")</f>
        <v>NO</v>
      </c>
      <c r="C244" s="3" t="s">
        <v>645</v>
      </c>
      <c r="D244" s="3" t="str">
        <f aca="false">IF(COUNTIF(Final_CB_I6_V5!$C$2:$C$834,C244)&gt;=1,"YES","NO")</f>
        <v>YES</v>
      </c>
      <c r="G244" s="4"/>
      <c r="H244" s="4"/>
    </row>
    <row r="245" customFormat="false" ht="15.75" hidden="false" customHeight="false" outlineLevel="0" collapsed="false">
      <c r="B245" s="3" t="str">
        <f aca="false">IF(COUNTIF(Final_CB_I6_V5!$B$2:$B$834,A245)&gt;=1,"YES","NO")</f>
        <v>NO</v>
      </c>
      <c r="C245" s="3" t="s">
        <v>647</v>
      </c>
      <c r="D245" s="3" t="str">
        <f aca="false">IF(COUNTIF(Final_CB_I6_V5!$C$2:$C$834,C245)&gt;=1,"YES","NO")</f>
        <v>YES</v>
      </c>
      <c r="G245" s="4"/>
      <c r="H245" s="4"/>
    </row>
    <row r="246" customFormat="false" ht="15.75" hidden="false" customHeight="false" outlineLevel="0" collapsed="false">
      <c r="G246" s="4"/>
      <c r="H246" s="4"/>
    </row>
    <row r="247" customFormat="false" ht="15.75" hidden="false" customHeight="false" outlineLevel="0" collapsed="false">
      <c r="G247" s="4"/>
      <c r="H247" s="4"/>
    </row>
    <row r="248" customFormat="false" ht="15.75" hidden="false" customHeight="false" outlineLevel="0" collapsed="false">
      <c r="G248" s="4"/>
      <c r="H248" s="4"/>
    </row>
    <row r="249" customFormat="false" ht="15.75" hidden="false" customHeight="false" outlineLevel="0" collapsed="false">
      <c r="G249" s="4"/>
      <c r="H249" s="4"/>
    </row>
    <row r="250" customFormat="false" ht="15.75" hidden="false" customHeight="false" outlineLevel="0" collapsed="false">
      <c r="G250" s="4"/>
      <c r="H250" s="4"/>
    </row>
    <row r="251" customFormat="false" ht="15.75" hidden="false" customHeight="false" outlineLevel="0" collapsed="false">
      <c r="G251" s="4"/>
      <c r="H251" s="4"/>
    </row>
    <row r="252" customFormat="false" ht="15.75" hidden="false" customHeight="false" outlineLevel="0" collapsed="false">
      <c r="G252" s="4"/>
      <c r="H252" s="4"/>
    </row>
    <row r="253" customFormat="false" ht="15.75" hidden="false" customHeight="false" outlineLevel="0" collapsed="false">
      <c r="G253" s="4"/>
      <c r="H253" s="4"/>
    </row>
    <row r="254" customFormat="false" ht="15.75" hidden="false" customHeight="false" outlineLevel="0" collapsed="false">
      <c r="G254" s="4"/>
      <c r="H254" s="4"/>
    </row>
    <row r="255" customFormat="false" ht="15.75" hidden="false" customHeight="false" outlineLevel="0" collapsed="false">
      <c r="G255" s="4"/>
      <c r="H255" s="4"/>
    </row>
    <row r="256" customFormat="false" ht="15.75" hidden="false" customHeight="false" outlineLevel="0" collapsed="false">
      <c r="G256" s="4"/>
      <c r="H256" s="4"/>
    </row>
    <row r="257" customFormat="false" ht="15.75" hidden="false" customHeight="false" outlineLevel="0" collapsed="false">
      <c r="G257" s="4"/>
      <c r="H257" s="4"/>
    </row>
    <row r="258" customFormat="false" ht="15.75" hidden="false" customHeight="false" outlineLevel="0" collapsed="false">
      <c r="G258" s="4"/>
      <c r="H258" s="4"/>
    </row>
    <row r="259" customFormat="false" ht="15.75" hidden="false" customHeight="false" outlineLevel="0" collapsed="false">
      <c r="G259" s="4"/>
      <c r="H259" s="4"/>
    </row>
    <row r="260" customFormat="false" ht="15.75" hidden="false" customHeight="false" outlineLevel="0" collapsed="false">
      <c r="G260" s="4"/>
      <c r="H260" s="4"/>
    </row>
    <row r="261" customFormat="false" ht="15.75" hidden="false" customHeight="false" outlineLevel="0" collapsed="false">
      <c r="G261" s="4"/>
      <c r="H261" s="4"/>
    </row>
    <row r="262" customFormat="false" ht="15.75" hidden="false" customHeight="false" outlineLevel="0" collapsed="false">
      <c r="G262" s="4"/>
      <c r="H262" s="4"/>
    </row>
    <row r="263" customFormat="false" ht="15.75" hidden="false" customHeight="false" outlineLevel="0" collapsed="false">
      <c r="G263" s="4"/>
      <c r="H263" s="4"/>
    </row>
    <row r="264" customFormat="false" ht="15.75" hidden="false" customHeight="false" outlineLevel="0" collapsed="false">
      <c r="G264" s="4"/>
      <c r="H264" s="4"/>
    </row>
    <row r="265" customFormat="false" ht="15.75" hidden="false" customHeight="false" outlineLevel="0" collapsed="false">
      <c r="G265" s="4"/>
      <c r="H265" s="4"/>
    </row>
    <row r="266" customFormat="false" ht="15.75" hidden="false" customHeight="false" outlineLevel="0" collapsed="false">
      <c r="G266" s="4"/>
      <c r="H266" s="4"/>
    </row>
    <row r="267" customFormat="false" ht="15.75" hidden="false" customHeight="false" outlineLevel="0" collapsed="false">
      <c r="G267" s="4"/>
      <c r="H267" s="4"/>
    </row>
    <row r="268" customFormat="false" ht="15.75" hidden="false" customHeight="false" outlineLevel="0" collapsed="false">
      <c r="G268" s="4"/>
      <c r="H268" s="4"/>
    </row>
    <row r="269" customFormat="false" ht="15.75" hidden="false" customHeight="false" outlineLevel="0" collapsed="false">
      <c r="G269" s="4"/>
      <c r="H269" s="4"/>
    </row>
    <row r="270" customFormat="false" ht="15.75" hidden="false" customHeight="false" outlineLevel="0" collapsed="false">
      <c r="G270" s="4"/>
      <c r="H270" s="4"/>
    </row>
    <row r="271" customFormat="false" ht="15.75" hidden="false" customHeight="false" outlineLevel="0" collapsed="false">
      <c r="G271" s="4"/>
      <c r="H271" s="4"/>
    </row>
    <row r="272" customFormat="false" ht="15.75" hidden="false" customHeight="false" outlineLevel="0" collapsed="false">
      <c r="G272" s="4"/>
      <c r="H272" s="4"/>
    </row>
    <row r="273" customFormat="false" ht="15.75" hidden="false" customHeight="false" outlineLevel="0" collapsed="false">
      <c r="G273" s="4"/>
      <c r="H273" s="4"/>
    </row>
    <row r="274" customFormat="false" ht="15.75" hidden="false" customHeight="false" outlineLevel="0" collapsed="false">
      <c r="G274" s="4"/>
      <c r="H274" s="4"/>
    </row>
    <row r="275" customFormat="false" ht="15.75" hidden="false" customHeight="false" outlineLevel="0" collapsed="false">
      <c r="G275" s="4"/>
      <c r="H275" s="4"/>
    </row>
    <row r="276" customFormat="false" ht="15.75" hidden="false" customHeight="false" outlineLevel="0" collapsed="false">
      <c r="G276" s="4"/>
      <c r="H276" s="4"/>
    </row>
    <row r="277" customFormat="false" ht="15.75" hidden="false" customHeight="false" outlineLevel="0" collapsed="false">
      <c r="G277" s="4"/>
      <c r="H277" s="4"/>
    </row>
    <row r="278" customFormat="false" ht="15.75" hidden="false" customHeight="false" outlineLevel="0" collapsed="false">
      <c r="G278" s="4"/>
      <c r="H278" s="4"/>
    </row>
    <row r="279" customFormat="false" ht="15.75" hidden="false" customHeight="false" outlineLevel="0" collapsed="false">
      <c r="G279" s="4"/>
      <c r="H279" s="4"/>
    </row>
    <row r="280" customFormat="false" ht="15.75" hidden="false" customHeight="false" outlineLevel="0" collapsed="false">
      <c r="G280" s="4"/>
      <c r="H280" s="4"/>
    </row>
    <row r="281" customFormat="false" ht="15.75" hidden="false" customHeight="false" outlineLevel="0" collapsed="false">
      <c r="G281" s="4"/>
      <c r="H281" s="4"/>
    </row>
    <row r="282" customFormat="false" ht="15.75" hidden="false" customHeight="false" outlineLevel="0" collapsed="false">
      <c r="G282" s="4"/>
      <c r="H282" s="4"/>
    </row>
    <row r="283" customFormat="false" ht="15.75" hidden="false" customHeight="false" outlineLevel="0" collapsed="false">
      <c r="G283" s="4"/>
      <c r="H283" s="4"/>
    </row>
    <row r="284" customFormat="false" ht="15.75" hidden="false" customHeight="false" outlineLevel="0" collapsed="false">
      <c r="G284" s="4"/>
      <c r="H284" s="4"/>
    </row>
    <row r="285" customFormat="false" ht="15.75" hidden="false" customHeight="false" outlineLevel="0" collapsed="false">
      <c r="G285" s="4"/>
      <c r="H285" s="4"/>
    </row>
    <row r="286" customFormat="false" ht="15.75" hidden="false" customHeight="false" outlineLevel="0" collapsed="false">
      <c r="G286" s="4"/>
      <c r="H286" s="4"/>
    </row>
    <row r="287" customFormat="false" ht="15.75" hidden="false" customHeight="false" outlineLevel="0" collapsed="false">
      <c r="G287" s="4"/>
      <c r="H287" s="4"/>
    </row>
    <row r="288" customFormat="false" ht="15.75" hidden="false" customHeight="false" outlineLevel="0" collapsed="false">
      <c r="G288" s="4"/>
      <c r="H288" s="4"/>
    </row>
    <row r="289" customFormat="false" ht="15.75" hidden="false" customHeight="false" outlineLevel="0" collapsed="false">
      <c r="G289" s="4"/>
      <c r="H289" s="4"/>
    </row>
    <row r="290" customFormat="false" ht="15.75" hidden="false" customHeight="false" outlineLevel="0" collapsed="false">
      <c r="G290" s="4"/>
      <c r="H290" s="4"/>
    </row>
    <row r="291" customFormat="false" ht="15.75" hidden="false" customHeight="false" outlineLevel="0" collapsed="false">
      <c r="G291" s="4"/>
      <c r="H291" s="4"/>
    </row>
    <row r="292" customFormat="false" ht="15.75" hidden="false" customHeight="false" outlineLevel="0" collapsed="false">
      <c r="G292" s="4"/>
      <c r="H292" s="4"/>
    </row>
    <row r="293" customFormat="false" ht="15.75" hidden="false" customHeight="false" outlineLevel="0" collapsed="false">
      <c r="G293" s="4"/>
      <c r="H293" s="4"/>
    </row>
    <row r="294" customFormat="false" ht="15.75" hidden="false" customHeight="false" outlineLevel="0" collapsed="false">
      <c r="G294" s="4"/>
      <c r="H294" s="4"/>
    </row>
    <row r="295" customFormat="false" ht="15.75" hidden="false" customHeight="false" outlineLevel="0" collapsed="false">
      <c r="G295" s="4"/>
      <c r="H295" s="4"/>
    </row>
    <row r="296" customFormat="false" ht="15.75" hidden="false" customHeight="false" outlineLevel="0" collapsed="false">
      <c r="G296" s="4"/>
      <c r="H296" s="4"/>
    </row>
    <row r="297" customFormat="false" ht="15.75" hidden="false" customHeight="false" outlineLevel="0" collapsed="false">
      <c r="G297" s="4"/>
      <c r="H297" s="4"/>
    </row>
    <row r="298" customFormat="false" ht="15.75" hidden="false" customHeight="false" outlineLevel="0" collapsed="false"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</sheetData>
  <conditionalFormatting sqref="A2:A1000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4"/>
      <c r="B2" s="3"/>
      <c r="C2" s="3"/>
      <c r="D2" s="4" t="str">
        <f aca="false">IF(AND(EXACT(B2,C2),NOT(AND(ISBLANK(B2),ISBLANK(C2)))), "Common", "")</f>
        <v/>
      </c>
    </row>
    <row r="3" customFormat="false" ht="15.75" hidden="false" customHeight="false" outlineLevel="0" collapsed="false">
      <c r="A3" s="4"/>
      <c r="D3" s="4" t="str">
        <f aca="false">IF(AND(EXACT(B3,C3),NOT(AND(ISBLANK(B3),ISBLANK(C3)))), "Common", "")</f>
        <v/>
      </c>
    </row>
    <row r="4" customFormat="false" ht="15.75" hidden="false" customHeight="false" outlineLevel="0" collapsed="false">
      <c r="A4" s="3" t="s">
        <v>653</v>
      </c>
      <c r="D4" s="4" t="str">
        <f aca="false">IF(AND(EXACT(B4,C4),NOT(AND(ISBLANK(B4),ISBLANK(C4)))), "Common", "")</f>
        <v/>
      </c>
    </row>
    <row r="5" customFormat="false" ht="15.75" hidden="false" customHeight="false" outlineLevel="0" collapsed="false">
      <c r="A5" s="4"/>
      <c r="D5" s="4" t="str">
        <f aca="false">IF(AND(EXACT(B5,C5),NOT(AND(ISBLANK(B5),ISBLANK(C5)))), "Common", "")</f>
        <v/>
      </c>
    </row>
    <row r="6" customFormat="false" ht="15.75" hidden="false" customHeight="false" outlineLevel="0" collapsed="false">
      <c r="A6" s="4"/>
      <c r="B6" s="3"/>
      <c r="C6" s="3"/>
      <c r="D6" s="4" t="str">
        <f aca="false">IF(AND(EXACT(B6,C6),NOT(AND(ISBLANK(B6),ISBLANK(C6)))), "Common", "")</f>
        <v/>
      </c>
    </row>
    <row r="7" customFormat="false" ht="15.75" hidden="false" customHeight="false" outlineLevel="0" collapsed="false">
      <c r="A7" s="4"/>
      <c r="B7" s="3"/>
      <c r="C7" s="3"/>
      <c r="D7" s="4" t="str">
        <f aca="false">IF(AND(EXACT(B7,C7),NOT(AND(ISBLANK(B7),ISBLANK(C7)))), "Common", "")</f>
        <v/>
      </c>
    </row>
    <row r="8" customFormat="false" ht="15.75" hidden="false" customHeight="false" outlineLevel="0" collapsed="false">
      <c r="A8" s="4"/>
      <c r="B8" s="3"/>
      <c r="C8" s="3"/>
      <c r="D8" s="4" t="str">
        <f aca="false">IF(AND(EXACT(B8,C8),NOT(AND(ISBLANK(B8),ISBLANK(C8)))), "Common", "")</f>
        <v/>
      </c>
    </row>
    <row r="9" customFormat="false" ht="15.75" hidden="false" customHeight="false" outlineLevel="0" collapsed="false">
      <c r="A9" s="4"/>
      <c r="B9" s="3"/>
      <c r="C9" s="3"/>
      <c r="D9" s="4" t="str">
        <f aca="false">IF(AND(EXACT(B9,C9),NOT(AND(ISBLANK(B9),ISBLANK(C9)))), "Common", "")</f>
        <v/>
      </c>
    </row>
    <row r="10" customFormat="false" ht="15.75" hidden="false" customHeight="false" outlineLevel="0" collapsed="false">
      <c r="A10" s="3" t="s">
        <v>654</v>
      </c>
      <c r="B10" s="3" t="s">
        <v>209</v>
      </c>
      <c r="C10" s="3"/>
      <c r="D10" s="4" t="str">
        <f aca="false">IF(AND(EXACT(B10,C10),NOT(AND(ISBLANK(B10),ISBLANK(C10)))), "Common", "")</f>
        <v/>
      </c>
    </row>
    <row r="11" customFormat="false" ht="15.75" hidden="false" customHeight="false" outlineLevel="0" collapsed="false">
      <c r="A11" s="3" t="s">
        <v>655</v>
      </c>
      <c r="C11" s="3" t="s">
        <v>623</v>
      </c>
      <c r="D11" s="4" t="str">
        <f aca="false">IF(AND(EXACT(B11,C11),NOT(AND(ISBLANK(B11),ISBLANK(C11)))), "Common", "")</f>
        <v/>
      </c>
    </row>
    <row r="12" customFormat="false" ht="15.75" hidden="false" customHeight="false" outlineLevel="0" collapsed="false">
      <c r="A12" s="3" t="s">
        <v>656</v>
      </c>
      <c r="B12" s="3"/>
      <c r="C12" s="3" t="s">
        <v>412</v>
      </c>
      <c r="D12" s="4" t="str">
        <f aca="false">IF(AND(EXACT(B12,C12),NOT(AND(ISBLANK(B12),ISBLANK(C12)))), "Common", "")</f>
        <v/>
      </c>
    </row>
    <row r="13" customFormat="false" ht="15.75" hidden="false" customHeight="false" outlineLevel="0" collapsed="false">
      <c r="A13" s="4"/>
      <c r="B13" s="3"/>
      <c r="C13" s="3"/>
      <c r="D13" s="4" t="str">
        <f aca="false">IF(AND(EXACT(B13,C13),NOT(AND(ISBLANK(B13),ISBLANK(C13)))), "Common", "")</f>
        <v/>
      </c>
    </row>
    <row r="14" customFormat="false" ht="15.75" hidden="false" customHeight="false" outlineLevel="0" collapsed="false">
      <c r="A14" s="4"/>
      <c r="B14" s="3"/>
      <c r="C14" s="3"/>
      <c r="D14" s="4" t="str">
        <f aca="false">IF(AND(EXACT(B14,C14),NOT(AND(ISBLANK(B14),ISBLANK(C14)))), "Common", "")</f>
        <v/>
      </c>
    </row>
    <row r="15" customFormat="false" ht="15.75" hidden="false" customHeight="false" outlineLevel="0" collapsed="false">
      <c r="A15" s="3" t="s">
        <v>329</v>
      </c>
      <c r="B15" s="3" t="s">
        <v>389</v>
      </c>
      <c r="C15" s="3" t="s">
        <v>389</v>
      </c>
      <c r="D15" s="4" t="str">
        <f aca="false">IF(AND(EXACT(B15,C15),NOT(AND(ISBLANK(B15),ISBLANK(C15)))), "Common", "")</f>
        <v>Common</v>
      </c>
    </row>
    <row r="16" customFormat="false" ht="15.75" hidden="false" customHeight="false" outlineLevel="0" collapsed="false">
      <c r="A16" s="3" t="s">
        <v>657</v>
      </c>
      <c r="B16" s="3" t="s">
        <v>394</v>
      </c>
      <c r="C16" s="3" t="s">
        <v>39</v>
      </c>
      <c r="D16" s="4" t="str">
        <f aca="false">IF(AND(EXACT(B16,C16),NOT(AND(ISBLANK(B16),ISBLANK(C16)))), "Common", "")</f>
        <v/>
      </c>
    </row>
    <row r="17" customFormat="false" ht="15.75" hidden="false" customHeight="false" outlineLevel="0" collapsed="false">
      <c r="A17" s="3" t="s">
        <v>657</v>
      </c>
      <c r="B17" s="3" t="s">
        <v>395</v>
      </c>
      <c r="C17" s="3" t="s">
        <v>48</v>
      </c>
      <c r="D17" s="4" t="str">
        <f aca="false">IF(AND(EXACT(B17,C17),NOT(AND(ISBLANK(B17),ISBLANK(C17)))), "Common", "")</f>
        <v/>
      </c>
    </row>
    <row r="18" customFormat="false" ht="15.75" hidden="false" customHeight="false" outlineLevel="0" collapsed="false">
      <c r="A18" s="3" t="s">
        <v>329</v>
      </c>
      <c r="B18" s="3" t="s">
        <v>514</v>
      </c>
      <c r="C18" s="3"/>
    </row>
    <row r="19" customFormat="false" ht="15.75" hidden="false" customHeight="false" outlineLevel="0" collapsed="false">
      <c r="A19" s="3" t="s">
        <v>657</v>
      </c>
      <c r="B19" s="3"/>
      <c r="C19" s="3" t="s">
        <v>575</v>
      </c>
    </row>
    <row r="20" customFormat="false" ht="15.75" hidden="false" customHeight="false" outlineLevel="0" collapsed="false">
      <c r="A20" s="3" t="s">
        <v>657</v>
      </c>
      <c r="B20" s="3"/>
      <c r="C20" s="3" t="s">
        <v>576</v>
      </c>
    </row>
    <row r="21" customFormat="false" ht="15.75" hidden="false" customHeight="false" outlineLevel="0" collapsed="false">
      <c r="A21" s="3" t="s">
        <v>657</v>
      </c>
      <c r="B21" s="3"/>
      <c r="C21" s="3" t="s">
        <v>577</v>
      </c>
    </row>
    <row r="22" customFormat="false" ht="15.75" hidden="false" customHeight="false" outlineLevel="0" collapsed="false">
      <c r="A22" s="3" t="s">
        <v>286</v>
      </c>
      <c r="D22" s="4" t="str">
        <f aca="false">IF(AND(EXACT(B277,C277),NOT(AND(ISBLANK(B277),ISBLANK(C277)))), "Common", "")</f>
        <v>Common</v>
      </c>
    </row>
    <row r="23" customFormat="false" ht="15.75" hidden="false" customHeight="false" outlineLevel="0" collapsed="false">
      <c r="A23" s="3" t="s">
        <v>286</v>
      </c>
      <c r="D23" s="4" t="str">
        <f aca="false">IF(AND(EXACT(B278,C278),NOT(AND(ISBLANK(B278),ISBLANK(C278)))), "Common", "")</f>
        <v>Common</v>
      </c>
    </row>
    <row r="24" customFormat="false" ht="15.75" hidden="false" customHeight="false" outlineLevel="0" collapsed="false">
      <c r="A24" s="3" t="s">
        <v>285</v>
      </c>
      <c r="B24" s="3" t="s">
        <v>168</v>
      </c>
      <c r="C24" s="3" t="s">
        <v>168</v>
      </c>
      <c r="D24" s="4" t="str">
        <f aca="false">IF(AND(EXACT(B24,C24),NOT(AND(ISBLANK(B24),ISBLANK(C24)))), "Common", "")</f>
        <v>Common</v>
      </c>
    </row>
    <row r="25" customFormat="false" ht="15.75" hidden="false" customHeight="false" outlineLevel="0" collapsed="false">
      <c r="A25" s="3" t="s">
        <v>285</v>
      </c>
      <c r="B25" s="3" t="s">
        <v>170</v>
      </c>
      <c r="C25" s="3" t="s">
        <v>170</v>
      </c>
      <c r="D25" s="4" t="str">
        <f aca="false">IF(AND(EXACT(B25,C25),NOT(AND(ISBLANK(B25),ISBLANK(C25)))), "Common", "")</f>
        <v>Common</v>
      </c>
    </row>
    <row r="26" customFormat="false" ht="15.75" hidden="false" customHeight="false" outlineLevel="0" collapsed="false">
      <c r="A26" s="3" t="s">
        <v>285</v>
      </c>
      <c r="B26" s="3" t="s">
        <v>188</v>
      </c>
      <c r="C26" s="3" t="s">
        <v>188</v>
      </c>
      <c r="D26" s="4" t="str">
        <f aca="false">IF(AND(EXACT(B26,C26),NOT(AND(ISBLANK(B26),ISBLANK(C26)))), "Common", "")</f>
        <v>Common</v>
      </c>
    </row>
    <row r="27" customFormat="false" ht="15.75" hidden="false" customHeight="false" outlineLevel="0" collapsed="false">
      <c r="A27" s="3" t="s">
        <v>285</v>
      </c>
      <c r="B27" s="3" t="s">
        <v>171</v>
      </c>
      <c r="C27" s="3" t="s">
        <v>171</v>
      </c>
      <c r="D27" s="4" t="str">
        <f aca="false">IF(AND(EXACT(B27,C27),NOT(AND(ISBLANK(B27),ISBLANK(C27)))), "Common", "")</f>
        <v>Common</v>
      </c>
    </row>
    <row r="28" customFormat="false" ht="15.75" hidden="false" customHeight="false" outlineLevel="0" collapsed="false">
      <c r="A28" s="3" t="s">
        <v>285</v>
      </c>
      <c r="B28" s="3" t="s">
        <v>173</v>
      </c>
      <c r="C28" s="3" t="s">
        <v>173</v>
      </c>
      <c r="D28" s="4" t="str">
        <f aca="false">IF(AND(EXACT(B28,C28),NOT(AND(ISBLANK(B28),ISBLANK(C28)))), "Common", "")</f>
        <v>Common</v>
      </c>
    </row>
    <row r="29" customFormat="false" ht="15.75" hidden="false" customHeight="false" outlineLevel="0" collapsed="false">
      <c r="A29" s="3" t="s">
        <v>285</v>
      </c>
      <c r="B29" s="3" t="s">
        <v>177</v>
      </c>
      <c r="C29" s="3" t="s">
        <v>177</v>
      </c>
      <c r="D29" s="4" t="str">
        <f aca="false">IF(AND(EXACT(B29,C29),NOT(AND(ISBLANK(B29),ISBLANK(C29)))), "Common", "")</f>
        <v>Common</v>
      </c>
    </row>
    <row r="30" customFormat="false" ht="15.75" hidden="false" customHeight="false" outlineLevel="0" collapsed="false">
      <c r="A30" s="3" t="s">
        <v>285</v>
      </c>
      <c r="B30" s="3" t="s">
        <v>179</v>
      </c>
      <c r="C30" s="3" t="s">
        <v>179</v>
      </c>
      <c r="D30" s="4" t="str">
        <f aca="false">IF(AND(EXACT(B30,C30),NOT(AND(ISBLANK(B30),ISBLANK(C30)))), "Common", "")</f>
        <v>Common</v>
      </c>
    </row>
    <row r="31" customFormat="false" ht="15.75" hidden="false" customHeight="false" outlineLevel="0" collapsed="false">
      <c r="A31" s="3" t="s">
        <v>285</v>
      </c>
      <c r="B31" s="3" t="s">
        <v>546</v>
      </c>
      <c r="C31" s="3" t="s">
        <v>546</v>
      </c>
      <c r="D31" s="4" t="str">
        <f aca="false">IF(AND(EXACT(B31,C31),NOT(AND(ISBLANK(B31),ISBLANK(C31)))), "Common", "")</f>
        <v>Common</v>
      </c>
    </row>
    <row r="32" customFormat="false" ht="15.75" hidden="false" customHeight="false" outlineLevel="0" collapsed="false">
      <c r="A32" s="3" t="s">
        <v>285</v>
      </c>
      <c r="B32" s="3"/>
      <c r="C32" s="3" t="s">
        <v>549</v>
      </c>
      <c r="D32" s="4" t="str">
        <f aca="false">IF(AND(EXACT(B276,C276),NOT(AND(ISBLANK(B276),ISBLANK(C276)))), "Common", "")</f>
        <v/>
      </c>
    </row>
    <row r="33" customFormat="false" ht="15.75" hidden="false" customHeight="false" outlineLevel="0" collapsed="false">
      <c r="A33" s="4"/>
      <c r="B33" s="3"/>
      <c r="C33" s="3"/>
    </row>
    <row r="34" customFormat="false" ht="15.75" hidden="false" customHeight="false" outlineLevel="0" collapsed="false">
      <c r="A34" s="3" t="s">
        <v>285</v>
      </c>
      <c r="B34" s="3" t="s">
        <v>195</v>
      </c>
      <c r="C34" s="3"/>
    </row>
    <row r="35" customFormat="false" ht="15.75" hidden="false" customHeight="false" outlineLevel="0" collapsed="false">
      <c r="A35" s="3" t="s">
        <v>285</v>
      </c>
      <c r="B35" s="3" t="s">
        <v>180</v>
      </c>
      <c r="C35" s="3"/>
    </row>
    <row r="36" customFormat="false" ht="15.75" hidden="false" customHeight="false" outlineLevel="0" collapsed="false">
      <c r="A36" s="3" t="s">
        <v>285</v>
      </c>
      <c r="B36" s="3" t="s">
        <v>562</v>
      </c>
      <c r="C36" s="3"/>
    </row>
    <row r="37" customFormat="false" ht="15.75" hidden="false" customHeight="false" outlineLevel="0" collapsed="false">
      <c r="A37" s="3" t="s">
        <v>285</v>
      </c>
      <c r="B37" s="3" t="s">
        <v>201</v>
      </c>
      <c r="C37" s="3"/>
    </row>
    <row r="38" customFormat="false" ht="15.75" hidden="false" customHeight="false" outlineLevel="0" collapsed="false">
      <c r="A38" s="3" t="s">
        <v>285</v>
      </c>
      <c r="B38" s="3" t="s">
        <v>203</v>
      </c>
      <c r="C38" s="3"/>
    </row>
    <row r="39" customFormat="false" ht="15.75" hidden="false" customHeight="false" outlineLevel="0" collapsed="false">
      <c r="A39" s="3" t="s">
        <v>285</v>
      </c>
      <c r="B39" s="3" t="s">
        <v>567</v>
      </c>
      <c r="C39" s="3"/>
    </row>
    <row r="40" customFormat="false" ht="15.75" hidden="false" customHeight="false" outlineLevel="0" collapsed="false">
      <c r="A40" s="3"/>
      <c r="B40" s="3"/>
      <c r="C40" s="3"/>
    </row>
    <row r="41" customFormat="false" ht="15.75" hidden="false" customHeight="false" outlineLevel="0" collapsed="false">
      <c r="A41" s="4"/>
    </row>
    <row r="42" customFormat="false" ht="15.75" hidden="false" customHeight="false" outlineLevel="0" collapsed="false">
      <c r="A42" s="3" t="s">
        <v>658</v>
      </c>
      <c r="B42" s="3" t="s">
        <v>361</v>
      </c>
      <c r="C42" s="3" t="s">
        <v>355</v>
      </c>
      <c r="D42" s="4" t="str">
        <f aca="false">IF(AND(EXACT(B42,C42),NOT(AND(ISBLANK(B42),ISBLANK(C42)))), "Common", "")</f>
        <v/>
      </c>
    </row>
    <row r="43" customFormat="false" ht="15.75" hidden="false" customHeight="false" outlineLevel="0" collapsed="false">
      <c r="A43" s="3" t="s">
        <v>658</v>
      </c>
      <c r="B43" s="3" t="s">
        <v>361</v>
      </c>
      <c r="C43" s="3" t="s">
        <v>357</v>
      </c>
      <c r="D43" s="4" t="str">
        <f aca="false">IF(AND(EXACT(B43,C43),NOT(AND(ISBLANK(B43),ISBLANK(C43)))), "Common", "")</f>
        <v/>
      </c>
    </row>
    <row r="44" customFormat="false" ht="15.75" hidden="false" customHeight="false" outlineLevel="0" collapsed="false">
      <c r="A44" s="3" t="s">
        <v>658</v>
      </c>
      <c r="B44" s="3" t="s">
        <v>366</v>
      </c>
      <c r="C44" s="3"/>
      <c r="D44" s="4" t="str">
        <f aca="false">IF(AND(EXACT(B44,C44),NOT(AND(ISBLANK(B44),ISBLANK(C44)))), "Common", "")</f>
        <v/>
      </c>
    </row>
    <row r="45" customFormat="false" ht="15.75" hidden="false" customHeight="false" outlineLevel="0" collapsed="false">
      <c r="A45" s="3" t="s">
        <v>659</v>
      </c>
      <c r="B45" s="3" t="s">
        <v>583</v>
      </c>
      <c r="C45" s="3" t="s">
        <v>554</v>
      </c>
      <c r="D45" s="4" t="str">
        <f aca="false">IF(AND(EXACT(B45,C45),NOT(AND(ISBLANK(B45),ISBLANK(C45)))), "Common", "")</f>
        <v/>
      </c>
    </row>
    <row r="46" customFormat="false" ht="15.75" hidden="false" customHeight="false" outlineLevel="0" collapsed="false">
      <c r="A46" s="3" t="s">
        <v>660</v>
      </c>
      <c r="B46" s="3" t="s">
        <v>547</v>
      </c>
      <c r="C46" s="3" t="s">
        <v>381</v>
      </c>
      <c r="D46" s="4" t="str">
        <f aca="false">IF(AND(EXACT(B46,C46),NOT(AND(ISBLANK(B46),ISBLANK(C46)))), "Common", "")</f>
        <v/>
      </c>
    </row>
    <row r="47" customFormat="false" ht="15.75" hidden="false" customHeight="false" outlineLevel="0" collapsed="false">
      <c r="A47" s="3" t="s">
        <v>283</v>
      </c>
      <c r="B47" s="3"/>
      <c r="C47" s="3" t="s">
        <v>468</v>
      </c>
      <c r="D47" s="4" t="str">
        <f aca="false">IF(AND(EXACT(B47,C47),NOT(AND(ISBLANK(B47),ISBLANK(C47)))), "Common", "")</f>
        <v/>
      </c>
    </row>
    <row r="48" customFormat="false" ht="15.75" hidden="false" customHeight="false" outlineLevel="0" collapsed="false">
      <c r="A48" s="4"/>
      <c r="B48" s="3"/>
      <c r="D48" s="4" t="str">
        <f aca="false">IF(AND(EXACT(B48,C205),NOT(AND(ISBLANK(B48),ISBLANK(C205)))), "Common", "")</f>
        <v/>
      </c>
    </row>
    <row r="49" customFormat="false" ht="15.75" hidden="false" customHeight="false" outlineLevel="0" collapsed="false">
      <c r="A49" s="3" t="s">
        <v>661</v>
      </c>
      <c r="B49" s="3"/>
      <c r="D49" s="4" t="str">
        <f aca="false">IF(AND(EXACT(B49,C321),NOT(AND(ISBLANK(B49),ISBLANK(C321)))), "Common", "")</f>
        <v/>
      </c>
    </row>
    <row r="50" customFormat="false" ht="15.75" hidden="false" customHeight="false" outlineLevel="0" collapsed="false">
      <c r="A50" s="4"/>
      <c r="D50" s="4" t="str">
        <f aca="false">IF(AND(EXACT(B32,C32),NOT(AND(ISBLANK(B32),ISBLANK(C32)))), "Common", "")</f>
        <v/>
      </c>
    </row>
    <row r="51" customFormat="false" ht="15.75" hidden="false" customHeight="false" outlineLevel="0" collapsed="false">
      <c r="A51" s="4"/>
      <c r="B51" s="3"/>
      <c r="C51" s="3"/>
    </row>
    <row r="52" customFormat="false" ht="15.75" hidden="false" customHeight="false" outlineLevel="0" collapsed="false">
      <c r="A52" s="4"/>
      <c r="B52" s="3"/>
      <c r="C52" s="3"/>
    </row>
    <row r="53" customFormat="false" ht="15.75" hidden="false" customHeight="false" outlineLevel="0" collapsed="false">
      <c r="A53" s="4"/>
      <c r="B53" s="3"/>
      <c r="C53" s="3"/>
    </row>
    <row r="54" customFormat="false" ht="15.75" hidden="false" customHeight="false" outlineLevel="0" collapsed="false">
      <c r="A54" s="4"/>
      <c r="B54" s="3"/>
      <c r="C54" s="3"/>
    </row>
    <row r="55" customFormat="false" ht="15.75" hidden="false" customHeight="false" outlineLevel="0" collapsed="false">
      <c r="A55" s="4"/>
      <c r="B55" s="3"/>
      <c r="C55" s="3"/>
    </row>
    <row r="56" customFormat="false" ht="15.75" hidden="false" customHeight="false" outlineLevel="0" collapsed="false">
      <c r="A56" s="4"/>
    </row>
    <row r="57" customFormat="false" ht="15.75" hidden="false" customHeight="false" outlineLevel="0" collapsed="false">
      <c r="A57" s="3" t="s">
        <v>662</v>
      </c>
      <c r="B57" s="3" t="s">
        <v>337</v>
      </c>
      <c r="C57" s="3" t="s">
        <v>337</v>
      </c>
      <c r="D57" s="4" t="str">
        <f aca="false">IF(AND(EXACT(B57,C57),NOT(AND(ISBLANK(B57),ISBLANK(C57)))), "Common", "")</f>
        <v>Common</v>
      </c>
    </row>
    <row r="58" customFormat="false" ht="15.75" hidden="false" customHeight="false" outlineLevel="0" collapsed="false">
      <c r="A58" s="3" t="s">
        <v>663</v>
      </c>
      <c r="B58" s="3" t="s">
        <v>348</v>
      </c>
      <c r="C58" s="3" t="s">
        <v>348</v>
      </c>
      <c r="D58" s="4" t="str">
        <f aca="false">IF(AND(EXACT(B58,C58),NOT(AND(ISBLANK(B58),ISBLANK(C58)))), "Common", "")</f>
        <v>Common</v>
      </c>
    </row>
    <row r="59" customFormat="false" ht="15.75" hidden="false" customHeight="false" outlineLevel="0" collapsed="false">
      <c r="A59" s="3" t="s">
        <v>662</v>
      </c>
      <c r="B59" s="3" t="s">
        <v>416</v>
      </c>
      <c r="C59" s="3" t="s">
        <v>416</v>
      </c>
      <c r="D59" s="4" t="str">
        <f aca="false">IF(AND(EXACT(B59,C59),NOT(AND(ISBLANK(B59),ISBLANK(C59)))), "Common", "")</f>
        <v>Common</v>
      </c>
    </row>
    <row r="60" customFormat="false" ht="15.75" hidden="false" customHeight="false" outlineLevel="0" collapsed="false">
      <c r="A60" s="3" t="s">
        <v>662</v>
      </c>
      <c r="B60" s="3" t="s">
        <v>422</v>
      </c>
      <c r="C60" s="3" t="s">
        <v>422</v>
      </c>
      <c r="D60" s="4" t="str">
        <f aca="false">IF(AND(EXACT(B60,C60),NOT(AND(ISBLANK(B60),ISBLANK(C60)))), "Common", "")</f>
        <v>Common</v>
      </c>
    </row>
    <row r="61" customFormat="false" ht="15.75" hidden="false" customHeight="false" outlineLevel="0" collapsed="false">
      <c r="A61" s="3" t="s">
        <v>662</v>
      </c>
      <c r="B61" s="3" t="s">
        <v>339</v>
      </c>
      <c r="C61" s="3" t="s">
        <v>416</v>
      </c>
      <c r="D61" s="4" t="str">
        <f aca="false">IF(AND(EXACT(B61,C61),NOT(AND(ISBLANK(B61),ISBLANK(C61)))), "Common", "")</f>
        <v/>
      </c>
    </row>
    <row r="62" customFormat="false" ht="15.75" hidden="false" customHeight="false" outlineLevel="0" collapsed="false">
      <c r="A62" s="3" t="s">
        <v>664</v>
      </c>
      <c r="B62" s="3" t="s">
        <v>499</v>
      </c>
      <c r="C62" s="3" t="s">
        <v>499</v>
      </c>
      <c r="D62" s="4" t="str">
        <f aca="false">IF(AND(EXACT(B62,C62),NOT(AND(ISBLANK(B62),ISBLANK(C62)))), "Common", "")</f>
        <v>Common</v>
      </c>
    </row>
    <row r="63" customFormat="false" ht="15.75" hidden="false" customHeight="false" outlineLevel="0" collapsed="false">
      <c r="A63" s="3" t="s">
        <v>664</v>
      </c>
      <c r="C63" s="3"/>
      <c r="D63" s="4" t="str">
        <f aca="false">IF(AND(EXACT(B237,C63),NOT(AND(ISBLANK(B237),ISBLANK(C63)))), "Common", "")</f>
        <v/>
      </c>
    </row>
    <row r="64" customFormat="false" ht="15.75" hidden="false" customHeight="false" outlineLevel="0" collapsed="false">
      <c r="A64" s="3" t="s">
        <v>664</v>
      </c>
      <c r="B64" s="3"/>
      <c r="C64" s="3" t="s">
        <v>500</v>
      </c>
    </row>
    <row r="65" customFormat="false" ht="15.75" hidden="false" customHeight="false" outlineLevel="0" collapsed="false">
      <c r="A65" s="3" t="s">
        <v>664</v>
      </c>
      <c r="B65" s="3" t="s">
        <v>550</v>
      </c>
      <c r="C65" s="3" t="s">
        <v>550</v>
      </c>
      <c r="D65" s="4" t="str">
        <f aca="false">IF(AND(EXACT(B65,C65),NOT(AND(ISBLANK(B65),ISBLANK(C65)))), "Common", "")</f>
        <v>Common</v>
      </c>
    </row>
    <row r="66" customFormat="false" ht="15.75" hidden="false" customHeight="false" outlineLevel="0" collapsed="false">
      <c r="A66" s="3" t="s">
        <v>665</v>
      </c>
      <c r="B66" s="3" t="s">
        <v>340</v>
      </c>
      <c r="C66" s="3" t="s">
        <v>340</v>
      </c>
      <c r="D66" s="4" t="str">
        <f aca="false">IF(AND(EXACT(B66,C66),NOT(AND(ISBLANK(B66),ISBLANK(C66)))), "Common", "")</f>
        <v>Common</v>
      </c>
    </row>
    <row r="67" customFormat="false" ht="15.75" hidden="false" customHeight="false" outlineLevel="0" collapsed="false">
      <c r="A67" s="3" t="s">
        <v>666</v>
      </c>
      <c r="B67" s="3" t="s">
        <v>374</v>
      </c>
      <c r="C67" s="3" t="s">
        <v>374</v>
      </c>
      <c r="D67" s="4" t="str">
        <f aca="false">IF(AND(EXACT(B67,C67),NOT(AND(ISBLANK(B67),ISBLANK(C67)))), "Common", "")</f>
        <v>Common</v>
      </c>
    </row>
    <row r="68" customFormat="false" ht="15.75" hidden="false" customHeight="false" outlineLevel="0" collapsed="false">
      <c r="A68" s="3" t="s">
        <v>667</v>
      </c>
      <c r="B68" s="3"/>
      <c r="C68" s="3" t="s">
        <v>429</v>
      </c>
    </row>
    <row r="69" customFormat="false" ht="15.75" hidden="false" customHeight="false" outlineLevel="0" collapsed="false">
      <c r="A69" s="3" t="s">
        <v>668</v>
      </c>
      <c r="B69" s="3" t="s">
        <v>440</v>
      </c>
      <c r="C69" s="3" t="s">
        <v>408</v>
      </c>
      <c r="D69" s="4" t="str">
        <f aca="false">IF(AND(EXACT(B69,C69),NOT(AND(ISBLANK(B69),ISBLANK(C69)))), "Common", "")</f>
        <v/>
      </c>
    </row>
    <row r="70" customFormat="false" ht="15.75" hidden="false" customHeight="false" outlineLevel="0" collapsed="false">
      <c r="A70" s="3" t="s">
        <v>668</v>
      </c>
      <c r="B70" s="3" t="s">
        <v>408</v>
      </c>
      <c r="C70" s="3" t="s">
        <v>408</v>
      </c>
      <c r="D70" s="4" t="str">
        <f aca="false">IF(AND(EXACT(B70,C70),NOT(AND(ISBLANK(B70),ISBLANK(C70)))), "Common", "")</f>
        <v>Common</v>
      </c>
    </row>
    <row r="71" customFormat="false" ht="15.75" hidden="false" customHeight="false" outlineLevel="0" collapsed="false">
      <c r="A71" s="3" t="s">
        <v>669</v>
      </c>
      <c r="B71" s="3" t="s">
        <v>438</v>
      </c>
      <c r="C71" s="3" t="s">
        <v>446</v>
      </c>
      <c r="D71" s="4" t="str">
        <f aca="false">IF(AND(EXACT(B71,C71),NOT(AND(ISBLANK(B71),ISBLANK(C71)))), "Common", "")</f>
        <v/>
      </c>
    </row>
    <row r="72" customFormat="false" ht="15.75" hidden="false" customHeight="false" outlineLevel="0" collapsed="false">
      <c r="A72" s="3" t="s">
        <v>669</v>
      </c>
      <c r="B72" s="3" t="s">
        <v>446</v>
      </c>
      <c r="C72" s="3" t="s">
        <v>446</v>
      </c>
      <c r="D72" s="4" t="str">
        <f aca="false">IF(AND(EXACT(B72,C72),NOT(AND(ISBLANK(B72),ISBLANK(C72)))), "Common", "")</f>
        <v>Common</v>
      </c>
    </row>
    <row r="73" customFormat="false" ht="15.75" hidden="false" customHeight="false" outlineLevel="0" collapsed="false">
      <c r="A73" s="3" t="s">
        <v>289</v>
      </c>
      <c r="B73" s="3" t="s">
        <v>424</v>
      </c>
      <c r="C73" s="3"/>
      <c r="D73" s="4" t="str">
        <f aca="false">IF(AND(EXACT(B73,C73),NOT(AND(ISBLANK(B73),ISBLANK(C73)))), "Common", "")</f>
        <v/>
      </c>
    </row>
    <row r="74" customFormat="false" ht="15.75" hidden="false" customHeight="false" outlineLevel="0" collapsed="false">
      <c r="A74" s="3" t="s">
        <v>290</v>
      </c>
      <c r="B74" s="3" t="s">
        <v>342</v>
      </c>
      <c r="C74" s="3" t="s">
        <v>342</v>
      </c>
      <c r="D74" s="4" t="str">
        <f aca="false">IF(AND(EXACT(B74,C74),NOT(AND(ISBLANK(B74),ISBLANK(C74)))), "Common", "")</f>
        <v>Common</v>
      </c>
    </row>
    <row r="75" customFormat="false" ht="15.75" hidden="false" customHeight="false" outlineLevel="0" collapsed="false">
      <c r="A75" s="3" t="s">
        <v>291</v>
      </c>
      <c r="B75" s="3" t="s">
        <v>402</v>
      </c>
      <c r="C75" s="3" t="s">
        <v>402</v>
      </c>
      <c r="D75" s="4" t="str">
        <f aca="false">IF(AND(EXACT(B75,C75),NOT(AND(ISBLANK(B75),ISBLANK(C75)))), "Common", "")</f>
        <v>Common</v>
      </c>
    </row>
    <row r="76" customFormat="false" ht="15.75" hidden="false" customHeight="false" outlineLevel="0" collapsed="false">
      <c r="A76" s="3" t="s">
        <v>290</v>
      </c>
      <c r="B76" s="3" t="s">
        <v>343</v>
      </c>
      <c r="C76" s="3" t="s">
        <v>343</v>
      </c>
      <c r="D76" s="4" t="str">
        <f aca="false">IF(AND(EXACT(B76,C76),NOT(AND(ISBLANK(B76),ISBLANK(C76)))), "Common", "")</f>
        <v>Common</v>
      </c>
    </row>
    <row r="77" customFormat="false" ht="15.75" hidden="false" customHeight="false" outlineLevel="0" collapsed="false">
      <c r="A77" s="3" t="s">
        <v>291</v>
      </c>
      <c r="B77" s="3" t="s">
        <v>403</v>
      </c>
      <c r="C77" s="3" t="s">
        <v>403</v>
      </c>
      <c r="D77" s="4" t="str">
        <f aca="false">IF(AND(EXACT(B77,C77),NOT(AND(ISBLANK(B77),ISBLANK(C77)))), "Common", "")</f>
        <v>Common</v>
      </c>
    </row>
    <row r="78" customFormat="false" ht="15.75" hidden="false" customHeight="false" outlineLevel="0" collapsed="false">
      <c r="A78" s="3" t="s">
        <v>290</v>
      </c>
      <c r="B78" s="3" t="s">
        <v>345</v>
      </c>
      <c r="C78" s="3" t="s">
        <v>345</v>
      </c>
      <c r="D78" s="4" t="str">
        <f aca="false">IF(AND(EXACT(B78,C78),NOT(AND(ISBLANK(B78),ISBLANK(C78)))), "Common", "")</f>
        <v>Common</v>
      </c>
    </row>
    <row r="79" customFormat="false" ht="15.75" hidden="false" customHeight="false" outlineLevel="0" collapsed="false">
      <c r="A79" s="3" t="s">
        <v>290</v>
      </c>
      <c r="B79" s="3" t="s">
        <v>345</v>
      </c>
      <c r="C79" s="3" t="s">
        <v>341</v>
      </c>
      <c r="D79" s="4" t="str">
        <f aca="false">IF(AND(EXACT(B79,C79),NOT(AND(ISBLANK(B79),ISBLANK(C79)))), "Common", "")</f>
        <v/>
      </c>
    </row>
    <row r="80" customFormat="false" ht="15.75" hidden="false" customHeight="false" outlineLevel="0" collapsed="false">
      <c r="A80" s="3" t="s">
        <v>289</v>
      </c>
      <c r="B80" s="3"/>
      <c r="C80" s="3" t="s">
        <v>552</v>
      </c>
    </row>
    <row r="81" customFormat="false" ht="15.75" hidden="false" customHeight="false" outlineLevel="0" collapsed="false">
      <c r="A81" s="3" t="s">
        <v>289</v>
      </c>
      <c r="B81" s="3"/>
      <c r="C81" s="3" t="s">
        <v>553</v>
      </c>
    </row>
    <row r="82" customFormat="false" ht="15.75" hidden="false" customHeight="false" outlineLevel="0" collapsed="false">
      <c r="A82" s="3" t="s">
        <v>290</v>
      </c>
      <c r="B82" s="3" t="s">
        <v>350</v>
      </c>
      <c r="C82" s="3" t="s">
        <v>350</v>
      </c>
      <c r="D82" s="4" t="str">
        <f aca="false">IF(AND(EXACT(B82,C82),NOT(AND(ISBLANK(B82),ISBLANK(C82)))), "Common", "")</f>
        <v>Common</v>
      </c>
    </row>
    <row r="83" customFormat="false" ht="15.75" hidden="false" customHeight="false" outlineLevel="0" collapsed="false">
      <c r="A83" s="3" t="s">
        <v>291</v>
      </c>
      <c r="B83" s="3" t="s">
        <v>529</v>
      </c>
      <c r="C83" s="3"/>
      <c r="D83" s="4" t="str">
        <f aca="false">IF(AND(EXACT(B83,C83),NOT(AND(ISBLANK(B83),ISBLANK(C83)))), "Common", "")</f>
        <v/>
      </c>
    </row>
    <row r="84" customFormat="false" ht="15.75" hidden="false" customHeight="false" outlineLevel="0" collapsed="false">
      <c r="A84" s="3" t="s">
        <v>290</v>
      </c>
      <c r="B84" s="3" t="s">
        <v>380</v>
      </c>
      <c r="C84" s="3" t="s">
        <v>380</v>
      </c>
      <c r="D84" s="4" t="str">
        <f aca="false">IF(AND(EXACT(B84,C84),NOT(AND(ISBLANK(B84),ISBLANK(C84)))), "Common", "")</f>
        <v>Common</v>
      </c>
    </row>
    <row r="85" customFormat="false" ht="15.75" hidden="false" customHeight="false" outlineLevel="0" collapsed="false">
      <c r="A85" s="3" t="s">
        <v>291</v>
      </c>
      <c r="B85" s="3"/>
      <c r="C85" s="3" t="s">
        <v>608</v>
      </c>
      <c r="D85" s="4" t="str">
        <f aca="false">IF(AND(EXACT(B85,C85),NOT(AND(ISBLANK(B85),ISBLANK(C85)))), "Common", "")</f>
        <v/>
      </c>
    </row>
    <row r="86" customFormat="false" ht="15.75" hidden="false" customHeight="false" outlineLevel="0" collapsed="false">
      <c r="A86" s="3" t="s">
        <v>291</v>
      </c>
      <c r="B86" s="3"/>
      <c r="C86" s="3" t="s">
        <v>507</v>
      </c>
    </row>
    <row r="87" customFormat="false" ht="15.75" hidden="false" customHeight="false" outlineLevel="0" collapsed="false">
      <c r="A87" s="3" t="s">
        <v>289</v>
      </c>
      <c r="B87" s="3" t="s">
        <v>517</v>
      </c>
      <c r="C87" s="3" t="s">
        <v>517</v>
      </c>
      <c r="D87" s="4" t="str">
        <f aca="false">IF(AND(EXACT(B87,C87),NOT(AND(ISBLANK(B87),ISBLANK(C87)))), "Common", "")</f>
        <v>Common</v>
      </c>
    </row>
    <row r="88" customFormat="false" ht="15.75" hidden="false" customHeight="false" outlineLevel="0" collapsed="false">
      <c r="A88" s="3" t="s">
        <v>289</v>
      </c>
      <c r="B88" s="3" t="s">
        <v>137</v>
      </c>
      <c r="C88" s="3" t="s">
        <v>137</v>
      </c>
      <c r="D88" s="4" t="str">
        <f aca="false">IF(AND(EXACT(B88,C88),NOT(AND(ISBLANK(B88),ISBLANK(C88)))), "Common", "")</f>
        <v>Common</v>
      </c>
    </row>
    <row r="89" customFormat="false" ht="15.75" hidden="false" customHeight="false" outlineLevel="0" collapsed="false">
      <c r="A89" s="3" t="s">
        <v>289</v>
      </c>
      <c r="B89" s="3" t="s">
        <v>551</v>
      </c>
      <c r="C89" s="3" t="s">
        <v>551</v>
      </c>
      <c r="D89" s="4" t="str">
        <f aca="false">IF(AND(EXACT(B89,C89),NOT(AND(ISBLANK(B89),ISBLANK(C89)))), "Common", "")</f>
        <v>Common</v>
      </c>
    </row>
    <row r="90" customFormat="false" ht="15.75" hidden="false" customHeight="false" outlineLevel="0" collapsed="false">
      <c r="A90" s="3" t="s">
        <v>289</v>
      </c>
      <c r="B90" s="3" t="s">
        <v>618</v>
      </c>
      <c r="C90" s="3" t="s">
        <v>618</v>
      </c>
      <c r="D90" s="4" t="str">
        <f aca="false">IF(AND(EXACT(B90,C90),NOT(AND(ISBLANK(B90),ISBLANK(C90)))), "Common", "")</f>
        <v>Common</v>
      </c>
    </row>
    <row r="91" customFormat="false" ht="15.75" hidden="false" customHeight="false" outlineLevel="0" collapsed="false">
      <c r="A91" s="3" t="s">
        <v>289</v>
      </c>
      <c r="B91" s="3" t="s">
        <v>627</v>
      </c>
      <c r="C91" s="3" t="s">
        <v>627</v>
      </c>
      <c r="D91" s="4" t="str">
        <f aca="false">IF(AND(EXACT(B91,C91),NOT(AND(ISBLANK(B91),ISBLANK(C91)))), "Common", "")</f>
        <v>Common</v>
      </c>
    </row>
    <row r="92" customFormat="false" ht="15.75" hidden="false" customHeight="false" outlineLevel="0" collapsed="false">
      <c r="A92" s="3" t="s">
        <v>289</v>
      </c>
      <c r="B92" s="3" t="s">
        <v>633</v>
      </c>
      <c r="C92" s="3" t="s">
        <v>633</v>
      </c>
      <c r="D92" s="4" t="str">
        <f aca="false">IF(AND(EXACT(B92,C92),NOT(AND(ISBLANK(B92),ISBLANK(C92)))), "Common", "")</f>
        <v>Common</v>
      </c>
    </row>
    <row r="93" customFormat="false" ht="15.75" hidden="false" customHeight="false" outlineLevel="0" collapsed="false">
      <c r="A93" s="3" t="s">
        <v>289</v>
      </c>
      <c r="B93" s="3" t="s">
        <v>399</v>
      </c>
      <c r="C93" s="3"/>
      <c r="D93" s="4" t="str">
        <f aca="false">IF(AND(EXACT(B93,C93),NOT(AND(ISBLANK(B93),ISBLANK(C93)))), "Common", "")</f>
        <v/>
      </c>
    </row>
    <row r="94" customFormat="false" ht="15.75" hidden="false" customHeight="false" outlineLevel="0" collapsed="false">
      <c r="A94" s="3" t="s">
        <v>289</v>
      </c>
      <c r="B94" s="3" t="s">
        <v>396</v>
      </c>
      <c r="D94" s="4" t="str">
        <f aca="false">IF(AND(EXACT(B94,C94),NOT(AND(ISBLANK(B94),ISBLANK(C94)))), "Common", "")</f>
        <v/>
      </c>
    </row>
    <row r="95" customFormat="false" ht="15.75" hidden="false" customHeight="false" outlineLevel="0" collapsed="false">
      <c r="A95" s="4"/>
      <c r="B95" s="3"/>
      <c r="C95" s="3"/>
      <c r="D95" s="4" t="str">
        <f aca="false">IF(AND(EXACT(B95,C95),NOT(AND(ISBLANK(B95),ISBLANK(C95)))), "Common", "")</f>
        <v/>
      </c>
    </row>
    <row r="96" customFormat="false" ht="15.75" hidden="false" customHeight="false" outlineLevel="0" collapsed="false">
      <c r="A96" s="3" t="s">
        <v>289</v>
      </c>
      <c r="B96" s="3"/>
      <c r="C96" s="3" t="s">
        <v>617</v>
      </c>
      <c r="D96" s="4" t="str">
        <f aca="false">IF(AND(EXACT(B96,C96),NOT(AND(ISBLANK(B96),ISBLANK(C96)))), "Common", "")</f>
        <v/>
      </c>
    </row>
    <row r="97" customFormat="false" ht="15.75" hidden="false" customHeight="false" outlineLevel="0" collapsed="false">
      <c r="A97" s="3" t="s">
        <v>289</v>
      </c>
      <c r="B97" s="3"/>
      <c r="C97" s="3" t="s">
        <v>391</v>
      </c>
    </row>
    <row r="98" customFormat="false" ht="15.75" hidden="false" customHeight="false" outlineLevel="0" collapsed="false">
      <c r="A98" s="3" t="s">
        <v>289</v>
      </c>
      <c r="B98" s="3"/>
      <c r="C98" s="3" t="s">
        <v>392</v>
      </c>
    </row>
    <row r="99" customFormat="false" ht="15.75" hidden="false" customHeight="false" outlineLevel="0" collapsed="false">
      <c r="A99" s="3" t="s">
        <v>289</v>
      </c>
      <c r="B99" s="3"/>
      <c r="C99" s="3" t="s">
        <v>483</v>
      </c>
    </row>
    <row r="100" customFormat="false" ht="15.75" hidden="false" customHeight="false" outlineLevel="0" collapsed="false">
      <c r="A100" s="3" t="s">
        <v>289</v>
      </c>
      <c r="B100" s="3"/>
      <c r="C100" s="3" t="s">
        <v>485</v>
      </c>
    </row>
    <row r="101" customFormat="false" ht="15.75" hidden="false" customHeight="false" outlineLevel="0" collapsed="false">
      <c r="A101" s="3" t="s">
        <v>289</v>
      </c>
      <c r="B101" s="3" t="s">
        <v>612</v>
      </c>
      <c r="C101" s="3" t="s">
        <v>612</v>
      </c>
    </row>
    <row r="102" customFormat="false" ht="15.75" hidden="false" customHeight="false" outlineLevel="0" collapsed="false">
      <c r="A102" s="3" t="s">
        <v>289</v>
      </c>
      <c r="B102" s="3" t="s">
        <v>487</v>
      </c>
      <c r="C102" s="3" t="s">
        <v>487</v>
      </c>
      <c r="D102" s="4" t="str">
        <f aca="false">IF(AND(EXACT(B102,C102),NOT(AND(ISBLANK(B102),ISBLANK(C102)))), "Common", "")</f>
        <v>Common</v>
      </c>
    </row>
    <row r="103" customFormat="false" ht="15.75" hidden="false" customHeight="false" outlineLevel="0" collapsed="false">
      <c r="A103" s="3" t="s">
        <v>290</v>
      </c>
      <c r="B103" s="3" t="s">
        <v>344</v>
      </c>
      <c r="C103" s="3" t="s">
        <v>344</v>
      </c>
      <c r="D103" s="4" t="str">
        <f aca="false">IF(AND(EXACT(B103,C103),NOT(AND(ISBLANK(B103),ISBLANK(C103)))), "Common", "")</f>
        <v>Common</v>
      </c>
    </row>
    <row r="104" customFormat="false" ht="15.75" hidden="false" customHeight="false" outlineLevel="0" collapsed="false">
      <c r="A104" s="3" t="s">
        <v>670</v>
      </c>
      <c r="B104" s="3" t="s">
        <v>385</v>
      </c>
      <c r="C104" s="3" t="s">
        <v>385</v>
      </c>
      <c r="D104" s="4" t="str">
        <f aca="false">IF(AND(EXACT(B104,C104),NOT(AND(ISBLANK(B104),ISBLANK(C104)))), "Common", "")</f>
        <v>Common</v>
      </c>
    </row>
    <row r="105" customFormat="false" ht="15.75" hidden="false" customHeight="false" outlineLevel="0" collapsed="false">
      <c r="A105" s="3" t="s">
        <v>670</v>
      </c>
      <c r="B105" s="3" t="s">
        <v>497</v>
      </c>
      <c r="C105" s="3" t="s">
        <v>497</v>
      </c>
      <c r="D105" s="4" t="str">
        <f aca="false">IF(AND(EXACT(B105,C105),NOT(AND(ISBLANK(B105),ISBLANK(C105)))), "Common", "")</f>
        <v>Common</v>
      </c>
    </row>
    <row r="106" customFormat="false" ht="15.75" hidden="false" customHeight="false" outlineLevel="0" collapsed="false">
      <c r="A106" s="3" t="s">
        <v>670</v>
      </c>
      <c r="B106" s="3" t="s">
        <v>382</v>
      </c>
      <c r="C106" s="3"/>
      <c r="D106" s="4" t="str">
        <f aca="false">IF(AND(EXACT(B106,C106),NOT(AND(ISBLANK(B106),ISBLANK(C106)))), "Common", "")</f>
        <v/>
      </c>
    </row>
    <row r="107" customFormat="false" ht="15.75" hidden="false" customHeight="false" outlineLevel="0" collapsed="false">
      <c r="A107" s="3" t="s">
        <v>670</v>
      </c>
      <c r="B107" s="3" t="s">
        <v>542</v>
      </c>
      <c r="C107" s="3" t="s">
        <v>470</v>
      </c>
      <c r="D107" s="4" t="str">
        <f aca="false">IF(AND(EXACT(B107,C107),NOT(AND(ISBLANK(B107),ISBLANK(C107)))), "Common", "")</f>
        <v/>
      </c>
    </row>
    <row r="108" customFormat="false" ht="15.75" hidden="false" customHeight="false" outlineLevel="0" collapsed="false">
      <c r="A108" s="3" t="s">
        <v>671</v>
      </c>
      <c r="B108" s="3" t="s">
        <v>672</v>
      </c>
      <c r="C108" s="3"/>
      <c r="D108" s="4" t="str">
        <f aca="false">IF(AND(EXACT(B108,C108),NOT(AND(ISBLANK(B108),ISBLANK(C108)))), "Common", "")</f>
        <v/>
      </c>
    </row>
    <row r="109" customFormat="false" ht="15.75" hidden="false" customHeight="false" outlineLevel="0" collapsed="false">
      <c r="A109" s="4"/>
      <c r="B109" s="3"/>
      <c r="C109" s="3"/>
      <c r="D109" s="4" t="str">
        <f aca="false">IF(AND(EXACT(B109,C109),NOT(AND(ISBLANK(B109),ISBLANK(C109)))), "Common", "")</f>
        <v/>
      </c>
    </row>
    <row r="110" customFormat="false" ht="15.75" hidden="false" customHeight="false" outlineLevel="0" collapsed="false">
      <c r="A110" s="3" t="s">
        <v>670</v>
      </c>
      <c r="B110" s="3"/>
      <c r="C110" s="3" t="s">
        <v>605</v>
      </c>
      <c r="D110" s="4" t="str">
        <f aca="false">IF(AND(EXACT(B110,C110),NOT(AND(ISBLANK(B110),ISBLANK(C110)))), "Common", "")</f>
        <v/>
      </c>
    </row>
    <row r="111" customFormat="false" ht="15.75" hidden="false" customHeight="false" outlineLevel="0" collapsed="false">
      <c r="A111" s="3" t="s">
        <v>673</v>
      </c>
      <c r="B111" s="3" t="s">
        <v>502</v>
      </c>
      <c r="C111" s="3" t="s">
        <v>502</v>
      </c>
      <c r="D111" s="4" t="str">
        <f aca="false">IF(AND(EXACT(B111,C111),NOT(AND(ISBLANK(B111),ISBLANK(C111)))), "Common", "")</f>
        <v>Common</v>
      </c>
    </row>
    <row r="112" customFormat="false" ht="15.75" hidden="false" customHeight="false" outlineLevel="0" collapsed="false">
      <c r="A112" s="3" t="s">
        <v>674</v>
      </c>
      <c r="B112" s="3" t="s">
        <v>620</v>
      </c>
      <c r="C112" s="3" t="s">
        <v>649</v>
      </c>
      <c r="D112" s="4" t="str">
        <f aca="false">IF(AND(EXACT(B112,C112),NOT(AND(ISBLANK(B112),ISBLANK(C112)))), "Common", "")</f>
        <v/>
      </c>
    </row>
    <row r="113" customFormat="false" ht="15.75" hidden="false" customHeight="false" outlineLevel="0" collapsed="false">
      <c r="A113" s="3" t="s">
        <v>674</v>
      </c>
      <c r="B113" s="3" t="s">
        <v>620</v>
      </c>
      <c r="C113" s="3" t="s">
        <v>519</v>
      </c>
      <c r="D113" s="4" t="str">
        <f aca="false">IF(AND(EXACT(B113,C113),NOT(AND(ISBLANK(B113),ISBLANK(C113)))), "Common", "")</f>
        <v/>
      </c>
    </row>
    <row r="114" customFormat="false" ht="15.75" hidden="false" customHeight="false" outlineLevel="0" collapsed="false">
      <c r="A114" s="4"/>
      <c r="B114" s="3"/>
      <c r="C114" s="3"/>
      <c r="D114" s="4" t="str">
        <f aca="false">IF(AND(EXACT(B114,C114),NOT(AND(ISBLANK(B114),ISBLANK(C114)))), "Common", "")</f>
        <v/>
      </c>
    </row>
    <row r="115" customFormat="false" ht="15.75" hidden="false" customHeight="false" outlineLevel="0" collapsed="false">
      <c r="A115" s="3" t="s">
        <v>673</v>
      </c>
      <c r="B115" s="3"/>
      <c r="C115" s="3" t="s">
        <v>651</v>
      </c>
      <c r="D115" s="4" t="str">
        <f aca="false">IF(AND(EXACT(B115,C115),NOT(AND(ISBLANK(B115),ISBLANK(C115)))), "Common", "")</f>
        <v/>
      </c>
    </row>
    <row r="116" customFormat="false" ht="15.75" hidden="false" customHeight="false" outlineLevel="0" collapsed="false">
      <c r="A116" s="3" t="s">
        <v>674</v>
      </c>
      <c r="B116" s="3" t="s">
        <v>611</v>
      </c>
      <c r="C116" s="3" t="s">
        <v>611</v>
      </c>
      <c r="D116" s="4" t="str">
        <f aca="false">IF(AND(EXACT(B116,C116),NOT(AND(ISBLANK(B116),ISBLANK(C116)))), "Common", "")</f>
        <v>Common</v>
      </c>
    </row>
    <row r="117" customFormat="false" ht="15.75" hidden="false" customHeight="false" outlineLevel="0" collapsed="false">
      <c r="A117" s="4"/>
      <c r="B117" s="3"/>
      <c r="C117" s="3"/>
      <c r="D117" s="4" t="str">
        <f aca="false">IF(AND(EXACT(B117,C117),NOT(AND(ISBLANK(B117),ISBLANK(C117)))), "Common", "")</f>
        <v/>
      </c>
    </row>
    <row r="118" customFormat="false" ht="15.75" hidden="false" customHeight="false" outlineLevel="0" collapsed="false">
      <c r="A118" s="3" t="s">
        <v>675</v>
      </c>
      <c r="B118" s="3" t="s">
        <v>614</v>
      </c>
      <c r="C118" s="3"/>
      <c r="D118" s="4" t="str">
        <f aca="false">IF(AND(EXACT(B118,C118),NOT(AND(ISBLANK(B118),ISBLANK(C118)))), "Common", "")</f>
        <v/>
      </c>
    </row>
    <row r="119" customFormat="false" ht="15.75" hidden="false" customHeight="false" outlineLevel="0" collapsed="false">
      <c r="A119" s="4"/>
      <c r="B119" s="3"/>
    </row>
    <row r="120" customFormat="false" ht="15.75" hidden="false" customHeight="false" outlineLevel="0" collapsed="false">
      <c r="A120" s="3" t="s">
        <v>676</v>
      </c>
      <c r="B120" s="3" t="s">
        <v>414</v>
      </c>
      <c r="C120" s="3" t="s">
        <v>414</v>
      </c>
      <c r="D120" s="4" t="str">
        <f aca="false">IF(AND(EXACT(B120,C120),NOT(AND(ISBLANK(B120),ISBLANK(C120)))), "Common", "")</f>
        <v>Common</v>
      </c>
    </row>
    <row r="121" customFormat="false" ht="15.75" hidden="false" customHeight="false" outlineLevel="0" collapsed="false">
      <c r="A121" s="3" t="s">
        <v>302</v>
      </c>
      <c r="B121" s="3" t="s">
        <v>482</v>
      </c>
      <c r="C121" s="3"/>
      <c r="D121" s="4" t="str">
        <f aca="false">IF(AND(EXACT(B121,C121),NOT(AND(ISBLANK(B121),ISBLANK(C121)))), "Common", "")</f>
        <v/>
      </c>
    </row>
    <row r="122" customFormat="false" ht="15.75" hidden="false" customHeight="false" outlineLevel="0" collapsed="false">
      <c r="A122" s="3" t="s">
        <v>302</v>
      </c>
      <c r="B122" s="3" t="s">
        <v>478</v>
      </c>
      <c r="C122" s="3" t="s">
        <v>478</v>
      </c>
      <c r="D122" s="4" t="str">
        <f aca="false">IF(AND(EXACT(B122,C122),NOT(AND(ISBLANK(B122),ISBLANK(C122)))), "Common", "")</f>
        <v>Common</v>
      </c>
    </row>
    <row r="123" customFormat="false" ht="15.75" hidden="false" customHeight="false" outlineLevel="0" collapsed="false">
      <c r="A123" s="3" t="s">
        <v>677</v>
      </c>
      <c r="B123" s="3" t="s">
        <v>477</v>
      </c>
      <c r="C123" s="3"/>
      <c r="D123" s="4" t="str">
        <f aca="false">IF(AND(EXACT(B123,C123),NOT(AND(ISBLANK(B123),ISBLANK(C123)))), "Common", "")</f>
        <v/>
      </c>
    </row>
    <row r="124" customFormat="false" ht="15.75" hidden="false" customHeight="false" outlineLevel="0" collapsed="false">
      <c r="A124" s="3" t="s">
        <v>677</v>
      </c>
      <c r="B124" s="3" t="s">
        <v>479</v>
      </c>
      <c r="C124" s="3"/>
      <c r="D124" s="4" t="str">
        <f aca="false">IF(AND(EXACT(B124,C124),NOT(AND(ISBLANK(B124),ISBLANK(C124)))), "Common", "")</f>
        <v/>
      </c>
    </row>
    <row r="125" customFormat="false" ht="15.75" hidden="false" customHeight="false" outlineLevel="0" collapsed="false">
      <c r="A125" s="3" t="s">
        <v>293</v>
      </c>
      <c r="B125" s="3" t="s">
        <v>452</v>
      </c>
      <c r="C125" s="3" t="s">
        <v>452</v>
      </c>
      <c r="D125" s="4" t="str">
        <f aca="false">IF(AND(EXACT(B125,C125),NOT(AND(ISBLANK(B125),ISBLANK(C125)))), "Common", "")</f>
        <v>Common</v>
      </c>
    </row>
    <row r="126" customFormat="false" ht="15.75" hidden="false" customHeight="false" outlineLevel="0" collapsed="false">
      <c r="A126" s="3" t="s">
        <v>293</v>
      </c>
      <c r="B126" s="3" t="s">
        <v>454</v>
      </c>
      <c r="C126" s="3" t="s">
        <v>454</v>
      </c>
      <c r="D126" s="4" t="str">
        <f aca="false">IF(AND(EXACT(B126,C126),NOT(AND(ISBLANK(B126),ISBLANK(C126)))), "Common", "")</f>
        <v>Common</v>
      </c>
    </row>
    <row r="127" customFormat="false" ht="15.75" hidden="false" customHeight="false" outlineLevel="0" collapsed="false">
      <c r="A127" s="3" t="s">
        <v>293</v>
      </c>
      <c r="B127" s="3" t="s">
        <v>458</v>
      </c>
      <c r="C127" s="3" t="s">
        <v>458</v>
      </c>
      <c r="D127" s="4" t="str">
        <f aca="false">IF(AND(EXACT(B127,C127),NOT(AND(ISBLANK(B127),ISBLANK(C127)))), "Common", "")</f>
        <v>Common</v>
      </c>
    </row>
    <row r="128" customFormat="false" ht="15.75" hidden="false" customHeight="false" outlineLevel="0" collapsed="false">
      <c r="A128" s="3" t="s">
        <v>293</v>
      </c>
      <c r="B128" s="3"/>
      <c r="C128" s="3" t="s">
        <v>448</v>
      </c>
    </row>
    <row r="129" customFormat="false" ht="15.75" hidden="false" customHeight="false" outlineLevel="0" collapsed="false">
      <c r="A129" s="3" t="s">
        <v>294</v>
      </c>
      <c r="B129" s="3"/>
      <c r="C129" s="3" t="s">
        <v>464</v>
      </c>
    </row>
    <row r="130" customFormat="false" ht="15.75" hidden="false" customHeight="false" outlineLevel="0" collapsed="false">
      <c r="A130" s="3" t="s">
        <v>293</v>
      </c>
      <c r="B130" s="3" t="s">
        <v>516</v>
      </c>
      <c r="C130" s="3"/>
    </row>
    <row r="131" customFormat="false" ht="15.75" hidden="false" customHeight="false" outlineLevel="0" collapsed="false">
      <c r="A131" s="3" t="s">
        <v>293</v>
      </c>
      <c r="B131" s="3" t="s">
        <v>518</v>
      </c>
      <c r="C131" s="3"/>
    </row>
    <row r="132" customFormat="false" ht="15.75" hidden="false" customHeight="false" outlineLevel="0" collapsed="false">
      <c r="A132" s="3" t="s">
        <v>299</v>
      </c>
      <c r="B132" s="3" t="s">
        <v>504</v>
      </c>
      <c r="C132" s="3" t="s">
        <v>504</v>
      </c>
      <c r="D132" s="4" t="str">
        <f aca="false">IF(AND(EXACT(B132,C132),NOT(AND(ISBLANK(B132),ISBLANK(C132)))), "Common", "")</f>
        <v>Common</v>
      </c>
    </row>
    <row r="133" customFormat="false" ht="15.75" hidden="false" customHeight="false" outlineLevel="0" collapsed="false">
      <c r="A133" s="3" t="s">
        <v>298</v>
      </c>
      <c r="B133" s="3" t="s">
        <v>609</v>
      </c>
      <c r="C133" s="3" t="s">
        <v>609</v>
      </c>
      <c r="D133" s="4" t="str">
        <f aca="false">IF(AND(EXACT(B133,C133),NOT(AND(ISBLANK(B133),ISBLANK(C133)))), "Common", "")</f>
        <v>Common</v>
      </c>
    </row>
    <row r="134" customFormat="false" ht="15.75" hidden="false" customHeight="false" outlineLevel="0" collapsed="false">
      <c r="A134" s="3" t="s">
        <v>299</v>
      </c>
      <c r="B134" s="3" t="s">
        <v>587</v>
      </c>
      <c r="C134" s="3" t="s">
        <v>398</v>
      </c>
      <c r="D134" s="4" t="str">
        <f aca="false">IF(AND(EXACT(B134,C134),NOT(AND(ISBLANK(B134),ISBLANK(C134)))), "Common", "")</f>
        <v/>
      </c>
    </row>
    <row r="135" customFormat="false" ht="15.75" hidden="false" customHeight="false" outlineLevel="0" collapsed="false">
      <c r="A135" s="3" t="s">
        <v>299</v>
      </c>
      <c r="B135" s="3" t="s">
        <v>587</v>
      </c>
      <c r="C135" s="3" t="s">
        <v>558</v>
      </c>
      <c r="D135" s="4" t="str">
        <f aca="false">IF(AND(EXACT(B135,C135),NOT(AND(ISBLANK(B135),ISBLANK(C135)))), "Common", "")</f>
        <v/>
      </c>
    </row>
    <row r="136" customFormat="false" ht="15.75" hidden="false" customHeight="false" outlineLevel="0" collapsed="false">
      <c r="A136" s="3" t="s">
        <v>299</v>
      </c>
      <c r="B136" s="3"/>
      <c r="C136" s="3" t="s">
        <v>401</v>
      </c>
      <c r="D136" s="4" t="str">
        <f aca="false">IF(AND(EXACT(B136,C136),NOT(AND(ISBLANK(B136),ISBLANK(C136)))), "Common", "")</f>
        <v/>
      </c>
    </row>
    <row r="137" customFormat="false" ht="15.75" hidden="false" customHeight="false" outlineLevel="0" collapsed="false">
      <c r="A137" s="3" t="s">
        <v>299</v>
      </c>
      <c r="B137" s="3" t="s">
        <v>647</v>
      </c>
      <c r="C137" s="3" t="s">
        <v>647</v>
      </c>
      <c r="D137" s="4" t="str">
        <f aca="false">IF(AND(EXACT(B137,C137),NOT(AND(ISBLANK(B137),ISBLANK(C137)))), "Common", "")</f>
        <v>Common</v>
      </c>
    </row>
    <row r="138" customFormat="false" ht="15.75" hidden="false" customHeight="false" outlineLevel="0" collapsed="false">
      <c r="A138" s="3" t="s">
        <v>299</v>
      </c>
      <c r="B138" s="3"/>
      <c r="C138" s="3" t="s">
        <v>400</v>
      </c>
    </row>
    <row r="139" customFormat="false" ht="15.75" hidden="false" customHeight="false" outlineLevel="0" collapsed="false">
      <c r="A139" s="3" t="s">
        <v>678</v>
      </c>
      <c r="B139" s="3" t="s">
        <v>364</v>
      </c>
      <c r="C139" s="3" t="s">
        <v>362</v>
      </c>
      <c r="D139" s="4" t="str">
        <f aca="false">IF(AND(EXACT(B139,C139),NOT(AND(ISBLANK(B139),ISBLANK(C139)))), "Common", "")</f>
        <v/>
      </c>
    </row>
    <row r="140" customFormat="false" ht="15.75" hidden="false" customHeight="false" outlineLevel="0" collapsed="false">
      <c r="A140" s="3" t="s">
        <v>299</v>
      </c>
      <c r="B140" s="3" t="s">
        <v>491</v>
      </c>
      <c r="C140" s="3"/>
      <c r="D140" s="4" t="str">
        <f aca="false">IF(AND(EXACT(B140,C140),NOT(AND(ISBLANK(B140),ISBLANK(C140)))), "Common", "")</f>
        <v/>
      </c>
    </row>
    <row r="141" customFormat="false" ht="15.75" hidden="false" customHeight="false" outlineLevel="0" collapsed="false">
      <c r="A141" s="3" t="s">
        <v>678</v>
      </c>
      <c r="B141" s="3" t="s">
        <v>378</v>
      </c>
      <c r="C141" s="3"/>
      <c r="D141" s="4" t="str">
        <f aca="false">IF(AND(EXACT(B141,C141),NOT(AND(ISBLANK(B141),ISBLANK(C141)))), "Common", "")</f>
        <v/>
      </c>
    </row>
    <row r="142" customFormat="false" ht="15.75" hidden="false" customHeight="false" outlineLevel="0" collapsed="false">
      <c r="A142" s="3" t="s">
        <v>674</v>
      </c>
      <c r="B142" s="3" t="s">
        <v>555</v>
      </c>
      <c r="C142" s="3" t="s">
        <v>555</v>
      </c>
      <c r="D142" s="4" t="str">
        <f aca="false">IF(AND(EXACT(B142,C142),NOT(AND(ISBLANK(B142),ISBLANK(C142)))), "Common", "")</f>
        <v>Common</v>
      </c>
    </row>
    <row r="143" customFormat="false" ht="15.75" hidden="false" customHeight="false" outlineLevel="0" collapsed="false">
      <c r="A143" s="3" t="s">
        <v>674</v>
      </c>
      <c r="B143" s="3"/>
      <c r="C143" s="3" t="s">
        <v>628</v>
      </c>
      <c r="D143" s="4" t="str">
        <f aca="false">IF(AND(EXACT(B143,C143),NOT(AND(ISBLANK(B143),ISBLANK(C143)))), "Common", "")</f>
        <v/>
      </c>
    </row>
    <row r="144" customFormat="false" ht="15.75" hidden="false" customHeight="false" outlineLevel="0" collapsed="false">
      <c r="A144" s="3" t="s">
        <v>674</v>
      </c>
      <c r="B144" s="3"/>
      <c r="C144" s="3" t="s">
        <v>630</v>
      </c>
      <c r="D144" s="4" t="str">
        <f aca="false">IF(AND(EXACT(B144,C144),NOT(AND(ISBLANK(B144),ISBLANK(C144)))), "Common", "")</f>
        <v/>
      </c>
    </row>
    <row r="145" customFormat="false" ht="15.75" hidden="false" customHeight="false" outlineLevel="0" collapsed="false">
      <c r="A145" s="3" t="s">
        <v>674</v>
      </c>
      <c r="B145" s="3"/>
      <c r="C145" s="3" t="s">
        <v>631</v>
      </c>
      <c r="D145" s="4" t="str">
        <f aca="false">IF(AND(EXACT(B145,C145),NOT(AND(ISBLANK(B145),ISBLANK(C145)))), "Common", "")</f>
        <v/>
      </c>
    </row>
    <row r="146" customFormat="false" ht="15.75" hidden="false" customHeight="false" outlineLevel="0" collapsed="false">
      <c r="A146" s="3" t="s">
        <v>674</v>
      </c>
      <c r="B146" s="3"/>
      <c r="C146" s="3" t="s">
        <v>632</v>
      </c>
      <c r="D146" s="4" t="str">
        <f aca="false">IF(AND(EXACT(B146,C146),NOT(AND(ISBLANK(B146),ISBLANK(C146)))), "Common", "")</f>
        <v/>
      </c>
    </row>
    <row r="147" customFormat="false" ht="15.75" hidden="false" customHeight="false" outlineLevel="0" collapsed="false">
      <c r="A147" s="3" t="s">
        <v>674</v>
      </c>
      <c r="B147" s="3"/>
      <c r="C147" s="3" t="s">
        <v>634</v>
      </c>
      <c r="D147" s="4" t="str">
        <f aca="false">IF(AND(EXACT(B147,C147),NOT(AND(ISBLANK(B147),ISBLANK(C147)))), "Common", "")</f>
        <v/>
      </c>
    </row>
    <row r="148" customFormat="false" ht="15.75" hidden="false" customHeight="false" outlineLevel="0" collapsed="false">
      <c r="A148" s="3" t="s">
        <v>674</v>
      </c>
      <c r="B148" s="3"/>
      <c r="C148" s="3" t="s">
        <v>635</v>
      </c>
      <c r="D148" s="4" t="str">
        <f aca="false">IF(AND(EXACT(B148,C148),NOT(AND(ISBLANK(B148),ISBLANK(C148)))), "Common", "")</f>
        <v/>
      </c>
    </row>
    <row r="149" customFormat="false" ht="15.75" hidden="false" customHeight="false" outlineLevel="0" collapsed="false">
      <c r="A149" s="3" t="s">
        <v>674</v>
      </c>
      <c r="B149" s="3"/>
      <c r="C149" s="3" t="s">
        <v>636</v>
      </c>
      <c r="D149" s="4" t="str">
        <f aca="false">IF(AND(EXACT(B149,C149),NOT(AND(ISBLANK(B149),ISBLANK(C149)))), "Common", "")</f>
        <v/>
      </c>
    </row>
    <row r="150" customFormat="false" ht="15.75" hidden="false" customHeight="false" outlineLevel="0" collapsed="false">
      <c r="A150" s="3" t="s">
        <v>674</v>
      </c>
      <c r="B150" s="3"/>
      <c r="C150" s="3" t="s">
        <v>637</v>
      </c>
      <c r="D150" s="4" t="str">
        <f aca="false">IF(AND(EXACT(B150,C150),NOT(AND(ISBLANK(B150),ISBLANK(C150)))), "Common", "")</f>
        <v/>
      </c>
    </row>
    <row r="151" customFormat="false" ht="15.75" hidden="false" customHeight="false" outlineLevel="0" collapsed="false">
      <c r="A151" s="3" t="s">
        <v>674</v>
      </c>
      <c r="B151" s="3"/>
      <c r="C151" s="3" t="s">
        <v>639</v>
      </c>
      <c r="D151" s="4" t="str">
        <f aca="false">IF(AND(EXACT(B151,C151),NOT(AND(ISBLANK(B151),ISBLANK(C151)))), "Common", "")</f>
        <v/>
      </c>
    </row>
    <row r="152" customFormat="false" ht="15.75" hidden="false" customHeight="false" outlineLevel="0" collapsed="false">
      <c r="A152" s="3" t="s">
        <v>674</v>
      </c>
      <c r="B152" s="3"/>
      <c r="C152" s="3" t="s">
        <v>641</v>
      </c>
      <c r="D152" s="4" t="str">
        <f aca="false">IF(AND(EXACT(B152,C152),NOT(AND(ISBLANK(B152),ISBLANK(C152)))), "Common", "")</f>
        <v/>
      </c>
    </row>
    <row r="153" customFormat="false" ht="15.75" hidden="false" customHeight="false" outlineLevel="0" collapsed="false">
      <c r="A153" s="3" t="s">
        <v>674</v>
      </c>
      <c r="B153" s="3"/>
      <c r="C153" s="3" t="s">
        <v>643</v>
      </c>
      <c r="D153" s="4" t="str">
        <f aca="false">IF(AND(EXACT(B153,C153),NOT(AND(ISBLANK(B153),ISBLANK(C153)))), "Common", "")</f>
        <v/>
      </c>
    </row>
    <row r="154" customFormat="false" ht="15.75" hidden="false" customHeight="false" outlineLevel="0" collapsed="false">
      <c r="A154" s="3" t="s">
        <v>674</v>
      </c>
      <c r="B154" s="3"/>
      <c r="C154" s="3" t="s">
        <v>644</v>
      </c>
      <c r="D154" s="4" t="str">
        <f aca="false">IF(AND(EXACT(B154,C154),NOT(AND(ISBLANK(B154),ISBLANK(C154)))), "Common", "")</f>
        <v/>
      </c>
    </row>
    <row r="155" customFormat="false" ht="15.75" hidden="false" customHeight="false" outlineLevel="0" collapsed="false">
      <c r="A155" s="3" t="s">
        <v>674</v>
      </c>
      <c r="B155" s="3"/>
      <c r="C155" s="3" t="s">
        <v>646</v>
      </c>
      <c r="D155" s="4" t="str">
        <f aca="false">IF(AND(EXACT(B155,C155),NOT(AND(ISBLANK(B155),ISBLANK(C155)))), "Common", "")</f>
        <v/>
      </c>
    </row>
    <row r="156" customFormat="false" ht="15.75" hidden="false" customHeight="false" outlineLevel="0" collapsed="false">
      <c r="A156" s="3" t="s">
        <v>289</v>
      </c>
      <c r="B156" s="3" t="s">
        <v>527</v>
      </c>
      <c r="C156" s="3"/>
      <c r="D156" s="4" t="str">
        <f aca="false">IF(AND(EXACT(B156,C156),NOT(AND(ISBLANK(B156),ISBLANK(C156)))), "Common", "")</f>
        <v/>
      </c>
    </row>
    <row r="157" customFormat="false" ht="15.75" hidden="false" customHeight="false" outlineLevel="0" collapsed="false">
      <c r="A157" s="3" t="s">
        <v>289</v>
      </c>
      <c r="B157" s="3"/>
      <c r="C157" s="3" t="s">
        <v>522</v>
      </c>
      <c r="D157" s="4" t="str">
        <f aca="false">IF(AND(EXACT(B157,C157),NOT(AND(ISBLANK(B157),ISBLANK(C157)))), "Common", "")</f>
        <v/>
      </c>
    </row>
    <row r="158" customFormat="false" ht="15.75" hidden="false" customHeight="false" outlineLevel="0" collapsed="false">
      <c r="A158" s="3" t="s">
        <v>674</v>
      </c>
      <c r="B158" s="3" t="s">
        <v>426</v>
      </c>
      <c r="C158" s="3" t="s">
        <v>505</v>
      </c>
      <c r="D158" s="4" t="str">
        <f aca="false">IF(AND(EXACT(B158,C158),NOT(AND(ISBLANK(B158),ISBLANK(C158)))), "Common", "")</f>
        <v/>
      </c>
    </row>
    <row r="159" customFormat="false" ht="15.75" hidden="false" customHeight="false" outlineLevel="0" collapsed="false">
      <c r="A159" s="3" t="s">
        <v>674</v>
      </c>
      <c r="B159" s="3" t="s">
        <v>419</v>
      </c>
      <c r="C159" s="3"/>
    </row>
    <row r="160" customFormat="false" ht="15.75" hidden="false" customHeight="false" outlineLevel="0" collapsed="false">
      <c r="A160" s="3" t="s">
        <v>289</v>
      </c>
      <c r="B160" s="3"/>
      <c r="C160" s="3" t="s">
        <v>515</v>
      </c>
    </row>
    <row r="161" customFormat="false" ht="15.75" hidden="false" customHeight="false" outlineLevel="0" collapsed="false">
      <c r="A161" s="3" t="s">
        <v>289</v>
      </c>
      <c r="B161" s="3" t="s">
        <v>338</v>
      </c>
      <c r="C161" s="3" t="s">
        <v>338</v>
      </c>
      <c r="D161" s="4" t="str">
        <f aca="false">IF(AND(EXACT(B161,C161),NOT(AND(ISBLANK(B161),ISBLANK(C161)))), "Common", "")</f>
        <v>Common</v>
      </c>
    </row>
    <row r="162" customFormat="false" ht="15.75" hidden="false" customHeight="false" outlineLevel="0" collapsed="false">
      <c r="A162" s="3" t="s">
        <v>289</v>
      </c>
      <c r="B162" s="3" t="s">
        <v>481</v>
      </c>
      <c r="C162" s="3" t="s">
        <v>481</v>
      </c>
      <c r="D162" s="4" t="str">
        <f aca="false">IF(AND(EXACT(B162,C162),NOT(AND(ISBLANK(B162),ISBLANK(C162)))), "Common", "")</f>
        <v>Common</v>
      </c>
    </row>
    <row r="163" customFormat="false" ht="15.75" hidden="false" customHeight="false" outlineLevel="0" collapsed="false">
      <c r="A163" s="3" t="s">
        <v>674</v>
      </c>
      <c r="B163" s="3" t="s">
        <v>535</v>
      </c>
      <c r="C163" s="3"/>
    </row>
    <row r="164" customFormat="false" ht="15.75" hidden="false" customHeight="false" outlineLevel="0" collapsed="false">
      <c r="A164" s="3" t="s">
        <v>679</v>
      </c>
      <c r="B164" s="3" t="s">
        <v>493</v>
      </c>
      <c r="C164" s="3" t="s">
        <v>621</v>
      </c>
      <c r="D164" s="4" t="str">
        <f aca="false">IF(AND(EXACT(B164,C164),NOT(AND(ISBLANK(B164),ISBLANK(C164)))), "Common", "")</f>
        <v/>
      </c>
    </row>
    <row r="165" customFormat="false" ht="15.75" hidden="false" customHeight="false" outlineLevel="0" collapsed="false">
      <c r="A165" s="3" t="s">
        <v>679</v>
      </c>
      <c r="B165" s="3" t="s">
        <v>536</v>
      </c>
      <c r="C165" s="3" t="s">
        <v>506</v>
      </c>
      <c r="D165" s="4" t="str">
        <f aca="false">IF(AND(EXACT(B165,C165),NOT(AND(ISBLANK(B165),ISBLANK(C165)))), "Common", "")</f>
        <v/>
      </c>
    </row>
    <row r="166" customFormat="false" ht="15.75" hidden="false" customHeight="false" outlineLevel="0" collapsed="false">
      <c r="A166" s="3" t="s">
        <v>679</v>
      </c>
      <c r="B166" s="3" t="s">
        <v>538</v>
      </c>
      <c r="C166" s="3"/>
      <c r="D166" s="4" t="str">
        <f aca="false">IF(AND(EXACT(B166,C166),NOT(AND(ISBLANK(B166),ISBLANK(C166)))), "Common", "")</f>
        <v/>
      </c>
    </row>
    <row r="167" customFormat="false" ht="15.75" hidden="false" customHeight="false" outlineLevel="0" collapsed="false">
      <c r="A167" s="3" t="s">
        <v>679</v>
      </c>
      <c r="B167" s="3" t="s">
        <v>523</v>
      </c>
      <c r="C167" s="3" t="s">
        <v>506</v>
      </c>
      <c r="D167" s="4" t="str">
        <f aca="false">IF(AND(EXACT(B167,C167),NOT(AND(ISBLANK(B167),ISBLANK(C167)))), "Common", "")</f>
        <v/>
      </c>
    </row>
    <row r="168" customFormat="false" ht="15.75" hidden="false" customHeight="false" outlineLevel="0" collapsed="false">
      <c r="A168" s="3" t="s">
        <v>680</v>
      </c>
      <c r="B168" s="3"/>
      <c r="C168" s="3" t="s">
        <v>621</v>
      </c>
      <c r="D168" s="4" t="str">
        <f aca="false">IF(AND(EXACT(B168,C168),NOT(AND(ISBLANK(B168),ISBLANK(C168)))), "Common", "")</f>
        <v/>
      </c>
    </row>
    <row r="169" customFormat="false" ht="15.75" hidden="false" customHeight="false" outlineLevel="0" collapsed="false">
      <c r="A169" s="3" t="s">
        <v>679</v>
      </c>
      <c r="B169" s="3" t="s">
        <v>411</v>
      </c>
      <c r="C169" s="3" t="s">
        <v>506</v>
      </c>
      <c r="D169" s="4" t="str">
        <f aca="false">IF(AND(EXACT(B169,C169),NOT(AND(ISBLANK(B169),ISBLANK(C169)))), "Common", "")</f>
        <v/>
      </c>
    </row>
    <row r="170" customFormat="false" ht="15.75" hidden="false" customHeight="false" outlineLevel="0" collapsed="false">
      <c r="A170" s="3" t="s">
        <v>679</v>
      </c>
      <c r="B170" s="3" t="s">
        <v>413</v>
      </c>
      <c r="C170" s="3" t="s">
        <v>506</v>
      </c>
      <c r="D170" s="4" t="str">
        <f aca="false">IF(AND(EXACT(B170,C170),NOT(AND(ISBLANK(B170),ISBLANK(C170)))), "Common", "")</f>
        <v/>
      </c>
    </row>
    <row r="171" customFormat="false" ht="15.75" hidden="false" customHeight="false" outlineLevel="0" collapsed="false">
      <c r="A171" s="3" t="s">
        <v>293</v>
      </c>
      <c r="B171" s="3" t="s">
        <v>452</v>
      </c>
      <c r="C171" s="3" t="s">
        <v>449</v>
      </c>
      <c r="D171" s="4" t="str">
        <f aca="false">IF(AND(EXACT(B171,C171),NOT(AND(ISBLANK(B171),ISBLANK(C171)))), "Common", "")</f>
        <v/>
      </c>
    </row>
    <row r="172" customFormat="false" ht="15.75" hidden="false" customHeight="false" outlineLevel="0" collapsed="false">
      <c r="A172" s="3" t="s">
        <v>293</v>
      </c>
      <c r="B172" s="3" t="s">
        <v>454</v>
      </c>
      <c r="C172" s="3" t="s">
        <v>451</v>
      </c>
      <c r="D172" s="4" t="str">
        <f aca="false">IF(AND(EXACT(B172,C172),NOT(AND(ISBLANK(B172),ISBLANK(C172)))), "Common", "")</f>
        <v/>
      </c>
    </row>
    <row r="173" customFormat="false" ht="15.75" hidden="false" customHeight="false" outlineLevel="0" collapsed="false">
      <c r="A173" s="3" t="s">
        <v>293</v>
      </c>
      <c r="B173" s="3" t="s">
        <v>456</v>
      </c>
      <c r="C173" s="3"/>
      <c r="D173" s="4" t="str">
        <f aca="false">IF(AND(EXACT(B173,C173),NOT(AND(ISBLANK(B173),ISBLANK(C173)))), "Common", "")</f>
        <v/>
      </c>
    </row>
    <row r="174" customFormat="false" ht="15.75" hidden="false" customHeight="false" outlineLevel="0" collapsed="false">
      <c r="A174" s="3" t="s">
        <v>293</v>
      </c>
      <c r="B174" s="3" t="s">
        <v>458</v>
      </c>
      <c r="C174" s="3"/>
      <c r="D174" s="4" t="str">
        <f aca="false">IF(AND(EXACT(B174,C174),NOT(AND(ISBLANK(B174),ISBLANK(C174)))), "Common", "")</f>
        <v/>
      </c>
    </row>
    <row r="175" customFormat="false" ht="15.75" hidden="false" customHeight="false" outlineLevel="0" collapsed="false">
      <c r="A175" s="3" t="s">
        <v>293</v>
      </c>
      <c r="B175" s="3" t="s">
        <v>117</v>
      </c>
      <c r="C175" s="3"/>
      <c r="D175" s="4" t="str">
        <f aca="false">IF(AND(EXACT(B175,C175),NOT(AND(ISBLANK(B175),ISBLANK(C175)))), "Common", "")</f>
        <v/>
      </c>
    </row>
    <row r="176" customFormat="false" ht="15.75" hidden="false" customHeight="false" outlineLevel="0" collapsed="false">
      <c r="A176" s="3" t="s">
        <v>293</v>
      </c>
      <c r="B176" s="3" t="s">
        <v>121</v>
      </c>
      <c r="C176" s="3" t="s">
        <v>455</v>
      </c>
      <c r="D176" s="4" t="str">
        <f aca="false">IF(AND(EXACT(B176,C176),NOT(AND(ISBLANK(B176),ISBLANK(C176)))), "Common", "")</f>
        <v/>
      </c>
    </row>
    <row r="177" customFormat="false" ht="15.75" hidden="false" customHeight="false" outlineLevel="0" collapsed="false">
      <c r="A177" s="3" t="s">
        <v>293</v>
      </c>
      <c r="B177" s="3" t="s">
        <v>123</v>
      </c>
      <c r="C177" s="3"/>
      <c r="D177" s="4" t="str">
        <f aca="false">IF(AND(EXACT(B177,C177),NOT(AND(ISBLANK(B177),ISBLANK(C177)))), "Common", "")</f>
        <v/>
      </c>
    </row>
    <row r="178" customFormat="false" ht="15.75" hidden="false" customHeight="false" outlineLevel="0" collapsed="false">
      <c r="A178" s="3" t="s">
        <v>293</v>
      </c>
      <c r="B178" s="3" t="s">
        <v>127</v>
      </c>
      <c r="C178" s="3" t="s">
        <v>459</v>
      </c>
      <c r="D178" s="4" t="str">
        <f aca="false">IF(AND(EXACT(B178,C178),NOT(AND(ISBLANK(B178),ISBLANK(C178)))), "Common", "")</f>
        <v/>
      </c>
    </row>
    <row r="179" customFormat="false" ht="15.75" hidden="false" customHeight="false" outlineLevel="0" collapsed="false">
      <c r="A179" s="3" t="s">
        <v>293</v>
      </c>
      <c r="B179" s="3" t="s">
        <v>461</v>
      </c>
      <c r="C179" s="3"/>
      <c r="D179" s="4" t="str">
        <f aca="false">IF(AND(EXACT(B179,C179),NOT(AND(ISBLANK(B179),ISBLANK(C179)))), "Common", "")</f>
        <v/>
      </c>
    </row>
    <row r="180" customFormat="false" ht="15.75" hidden="false" customHeight="false" outlineLevel="0" collapsed="false">
      <c r="A180" s="3" t="s">
        <v>293</v>
      </c>
      <c r="B180" s="3" t="s">
        <v>463</v>
      </c>
      <c r="C180" s="3"/>
      <c r="D180" s="4" t="str">
        <f aca="false">IF(AND(EXACT(B180,C180),NOT(AND(ISBLANK(B180),ISBLANK(C180)))), "Common", "")</f>
        <v/>
      </c>
    </row>
    <row r="181" customFormat="false" ht="15.75" hidden="false" customHeight="false" outlineLevel="0" collapsed="false">
      <c r="A181" s="3" t="s">
        <v>293</v>
      </c>
      <c r="B181" s="3" t="s">
        <v>465</v>
      </c>
      <c r="C181" s="3"/>
      <c r="D181" s="4" t="str">
        <f aca="false">IF(AND(EXACT(B181,C181),NOT(AND(ISBLANK(B181),ISBLANK(C181)))), "Common", "")</f>
        <v/>
      </c>
    </row>
    <row r="182" customFormat="false" ht="15.75" hidden="false" customHeight="false" outlineLevel="0" collapsed="false">
      <c r="A182" s="3" t="s">
        <v>293</v>
      </c>
      <c r="B182" s="3" t="s">
        <v>467</v>
      </c>
      <c r="C182" s="3" t="s">
        <v>453</v>
      </c>
      <c r="D182" s="4" t="str">
        <f aca="false">IF(AND(EXACT(B182,C182),NOT(AND(ISBLANK(B182),ISBLANK(C182)))), "Common", "")</f>
        <v/>
      </c>
    </row>
    <row r="183" customFormat="false" ht="15.75" hidden="false" customHeight="false" outlineLevel="0" collapsed="false">
      <c r="A183" s="3" t="s">
        <v>293</v>
      </c>
      <c r="B183" s="3"/>
      <c r="C183" s="3" t="s">
        <v>462</v>
      </c>
      <c r="D183" s="4" t="str">
        <f aca="false">IF(AND(EXACT(B183,C183),NOT(AND(ISBLANK(B183),ISBLANK(C183)))), "Common", "")</f>
        <v/>
      </c>
    </row>
    <row r="184" customFormat="false" ht="15.75" hidden="false" customHeight="false" outlineLevel="0" collapsed="false">
      <c r="A184" s="3" t="s">
        <v>293</v>
      </c>
      <c r="B184" s="3" t="s">
        <v>469</v>
      </c>
      <c r="C184" s="3" t="s">
        <v>457</v>
      </c>
      <c r="D184" s="4" t="str">
        <f aca="false">IF(AND(EXACT(B184,C184),NOT(AND(ISBLANK(B184),ISBLANK(C184)))), "Common", "")</f>
        <v/>
      </c>
    </row>
    <row r="185" customFormat="false" ht="15.75" hidden="false" customHeight="false" outlineLevel="0" collapsed="false">
      <c r="A185" s="3" t="s">
        <v>293</v>
      </c>
      <c r="B185" s="3" t="s">
        <v>471</v>
      </c>
      <c r="C185" s="3" t="s">
        <v>460</v>
      </c>
      <c r="D185" s="4" t="str">
        <f aca="false">IF(AND(EXACT(B185,C185),NOT(AND(ISBLANK(B185),ISBLANK(C185)))), "Common", "")</f>
        <v/>
      </c>
    </row>
    <row r="186" customFormat="false" ht="15.75" hidden="false" customHeight="false" outlineLevel="0" collapsed="false">
      <c r="A186" s="3" t="s">
        <v>293</v>
      </c>
      <c r="B186" s="3" t="s">
        <v>473</v>
      </c>
      <c r="C186" s="3"/>
      <c r="D186" s="4" t="str">
        <f aca="false">IF(AND(EXACT(B186,C186),NOT(AND(ISBLANK(B186),ISBLANK(C186)))), "Common", "")</f>
        <v/>
      </c>
    </row>
    <row r="187" customFormat="false" ht="15.75" hidden="false" customHeight="false" outlineLevel="0" collapsed="false">
      <c r="A187" s="3" t="s">
        <v>681</v>
      </c>
      <c r="B187" s="3" t="s">
        <v>601</v>
      </c>
      <c r="D187" s="4" t="str">
        <f aca="false">IF(AND(EXACT(B187,C187),NOT(AND(ISBLANK(B187),ISBLANK(C187)))), "Common", "")</f>
        <v/>
      </c>
    </row>
    <row r="188" customFormat="false" ht="15.75" hidden="false" customHeight="false" outlineLevel="0" collapsed="false">
      <c r="A188" s="3" t="s">
        <v>674</v>
      </c>
      <c r="B188" s="3" t="s">
        <v>409</v>
      </c>
      <c r="C188" s="3" t="s">
        <v>409</v>
      </c>
      <c r="D188" s="4" t="str">
        <f aca="false">IF(AND(EXACT(B188,C188),NOT(AND(ISBLANK(B188),ISBLANK(C188)))), "Common", "")</f>
        <v>Common</v>
      </c>
    </row>
    <row r="189" customFormat="false" ht="15.75" hidden="false" customHeight="false" outlineLevel="0" collapsed="false">
      <c r="A189" s="3"/>
      <c r="B189" s="3"/>
      <c r="C189" s="3"/>
      <c r="D189" s="4" t="str">
        <f aca="false">IF(AND(EXACT(B189,C189),NOT(AND(ISBLANK(B189),ISBLANK(C189)))), "Common", "")</f>
        <v/>
      </c>
    </row>
    <row r="190" customFormat="false" ht="15.75" hidden="false" customHeight="false" outlineLevel="0" collapsed="false">
      <c r="A190" s="3"/>
      <c r="B190" s="3"/>
      <c r="C190" s="3"/>
      <c r="D190" s="4" t="str">
        <f aca="false">IF(AND(EXACT(B190,C190),NOT(AND(ISBLANK(B190),ISBLANK(C190)))), "Common", "")</f>
        <v/>
      </c>
    </row>
    <row r="191" customFormat="false" ht="15.75" hidden="false" customHeight="false" outlineLevel="0" collapsed="false">
      <c r="A191" s="3" t="s">
        <v>682</v>
      </c>
      <c r="B191" s="3"/>
      <c r="C191" s="3"/>
      <c r="D191" s="4" t="str">
        <f aca="false">IF(AND(EXACT(B191,C191),NOT(AND(ISBLANK(B191),ISBLANK(C191)))), "Common", "")</f>
        <v/>
      </c>
    </row>
    <row r="192" customFormat="false" ht="15.75" hidden="false" customHeight="false" outlineLevel="0" collapsed="false">
      <c r="A192" s="4"/>
      <c r="B192" s="3"/>
      <c r="C192" s="3"/>
    </row>
    <row r="193" customFormat="false" ht="15.75" hidden="false" customHeight="false" outlineLevel="0" collapsed="false">
      <c r="A193" s="3" t="s">
        <v>683</v>
      </c>
      <c r="B193" s="3" t="s">
        <v>334</v>
      </c>
      <c r="C193" s="3"/>
      <c r="D193" s="4" t="str">
        <f aca="false">IF(AND(EXACT(B193,C193),NOT(AND(ISBLANK(B193),ISBLANK(C193)))), "Common", "")</f>
        <v/>
      </c>
      <c r="E193" s="8"/>
    </row>
    <row r="194" customFormat="false" ht="15.75" hidden="false" customHeight="false" outlineLevel="0" collapsed="false">
      <c r="A194" s="3" t="s">
        <v>683</v>
      </c>
      <c r="B194" s="3" t="s">
        <v>404</v>
      </c>
      <c r="C194" s="3"/>
      <c r="E194" s="9" t="s">
        <v>684</v>
      </c>
    </row>
    <row r="195" customFormat="false" ht="15.75" hidden="false" customHeight="false" outlineLevel="0" collapsed="false">
      <c r="A195" s="3" t="s">
        <v>683</v>
      </c>
      <c r="B195" s="3" t="s">
        <v>406</v>
      </c>
      <c r="C195" s="3"/>
      <c r="E195" s="8"/>
    </row>
    <row r="196" customFormat="false" ht="15.75" hidden="false" customHeight="false" outlineLevel="0" collapsed="false">
      <c r="A196" s="3" t="s">
        <v>683</v>
      </c>
      <c r="B196" s="3" t="s">
        <v>585</v>
      </c>
      <c r="E196" s="8"/>
    </row>
    <row r="197" customFormat="false" ht="15.75" hidden="false" customHeight="false" outlineLevel="0" collapsed="false">
      <c r="A197" s="3" t="s">
        <v>685</v>
      </c>
      <c r="B197" s="3" t="s">
        <v>363</v>
      </c>
      <c r="E197" s="8"/>
    </row>
    <row r="198" customFormat="false" ht="15.75" hidden="false" customHeight="false" outlineLevel="0" collapsed="false">
      <c r="A198" s="3" t="s">
        <v>683</v>
      </c>
      <c r="C198" s="3" t="s">
        <v>594</v>
      </c>
      <c r="E198" s="8"/>
    </row>
    <row r="199" customFormat="false" ht="15.75" hidden="false" customHeight="false" outlineLevel="0" collapsed="false">
      <c r="A199" s="3" t="s">
        <v>686</v>
      </c>
      <c r="B199" s="3" t="s">
        <v>358</v>
      </c>
      <c r="C199" s="3" t="s">
        <v>358</v>
      </c>
      <c r="D199" s="4" t="str">
        <f aca="false">IF(AND(EXACT(B199,C199),NOT(AND(ISBLANK(B199),ISBLANK(C199)))), "Common", "")</f>
        <v>Common</v>
      </c>
    </row>
    <row r="200" customFormat="false" ht="15.75" hidden="false" customHeight="false" outlineLevel="0" collapsed="false">
      <c r="A200" s="3" t="s">
        <v>686</v>
      </c>
      <c r="B200" s="3" t="s">
        <v>352</v>
      </c>
      <c r="C200" s="3" t="s">
        <v>352</v>
      </c>
      <c r="D200" s="4" t="str">
        <f aca="false">IF(AND(EXACT(B200,C200),NOT(AND(ISBLANK(B200),ISBLANK(C200)))), "Common", "")</f>
        <v>Common</v>
      </c>
    </row>
    <row r="201" customFormat="false" ht="15.75" hidden="false" customHeight="false" outlineLevel="0" collapsed="false">
      <c r="A201" s="3" t="s">
        <v>686</v>
      </c>
      <c r="B201" s="3" t="s">
        <v>370</v>
      </c>
      <c r="C201" s="3" t="s">
        <v>370</v>
      </c>
      <c r="D201" s="4" t="str">
        <f aca="false">IF(AND(EXACT(B201,C201),NOT(AND(ISBLANK(B201),ISBLANK(C201)))), "Common", "")</f>
        <v>Common</v>
      </c>
    </row>
    <row r="202" customFormat="false" ht="15.75" hidden="false" customHeight="false" outlineLevel="0" collapsed="false">
      <c r="A202" s="3" t="s">
        <v>686</v>
      </c>
      <c r="B202" s="3" t="s">
        <v>352</v>
      </c>
      <c r="C202" s="3" t="s">
        <v>360</v>
      </c>
      <c r="D202" s="4" t="str">
        <f aca="false">IF(AND(EXACT(B202,C202),NOT(AND(ISBLANK(B202),ISBLANK(C202)))), "Common", "")</f>
        <v/>
      </c>
    </row>
    <row r="203" customFormat="false" ht="15.75" hidden="false" customHeight="false" outlineLevel="0" collapsed="false">
      <c r="A203" s="3" t="s">
        <v>687</v>
      </c>
      <c r="B203" s="3" t="s">
        <v>556</v>
      </c>
      <c r="C203" s="3" t="s">
        <v>556</v>
      </c>
      <c r="D203" s="4" t="str">
        <f aca="false">IF(AND(EXACT(B203,C203),NOT(AND(ISBLANK(B203),ISBLANK(C203)))), "Common", "")</f>
        <v>Common</v>
      </c>
    </row>
    <row r="204" customFormat="false" ht="15.75" hidden="false" customHeight="false" outlineLevel="0" collapsed="false">
      <c r="A204" s="3" t="s">
        <v>687</v>
      </c>
      <c r="B204" s="3" t="s">
        <v>563</v>
      </c>
      <c r="C204" s="3" t="s">
        <v>563</v>
      </c>
      <c r="D204" s="4" t="str">
        <f aca="false">IF(AND(EXACT(B204,C204),NOT(AND(ISBLANK(B204),ISBLANK(C204)))), "Common", "")</f>
        <v>Common</v>
      </c>
    </row>
    <row r="205" customFormat="false" ht="15.75" hidden="false" customHeight="false" outlineLevel="0" collapsed="false">
      <c r="A205" s="3" t="s">
        <v>687</v>
      </c>
      <c r="C205" s="3" t="s">
        <v>496</v>
      </c>
      <c r="D205" s="7" t="e">
        <f aca="false">IF(AND(EXACT(B205,#REF!),NOT(AND(ISBLANK(B205),ISBLANK(#REF!)))), "Common", "")</f>
        <v>#REF!</v>
      </c>
    </row>
    <row r="206" customFormat="false" ht="15.75" hidden="false" customHeight="false" outlineLevel="0" collapsed="false">
      <c r="A206" s="3" t="s">
        <v>687</v>
      </c>
      <c r="B206" s="3" t="s">
        <v>563</v>
      </c>
      <c r="D206" s="4" t="str">
        <f aca="false">IF(AND(EXACT(B206,C206),NOT(AND(ISBLANK(B206),ISBLANK(C206)))), "Common", "")</f>
        <v/>
      </c>
    </row>
    <row r="207" customFormat="false" ht="15.75" hidden="false" customHeight="false" outlineLevel="0" collapsed="false">
      <c r="A207" s="3" t="s">
        <v>687</v>
      </c>
      <c r="B207" s="3" t="s">
        <v>592</v>
      </c>
      <c r="C207" s="3"/>
      <c r="D207" s="4" t="str">
        <f aca="false">IF(AND(EXACT(B207,C207),NOT(AND(ISBLANK(B207),ISBLANK(C207)))), "Common", "")</f>
        <v/>
      </c>
    </row>
    <row r="208" customFormat="false" ht="15.75" hidden="false" customHeight="false" outlineLevel="0" collapsed="false">
      <c r="A208" s="3" t="s">
        <v>687</v>
      </c>
      <c r="B208" s="3"/>
      <c r="C208" s="3" t="s">
        <v>557</v>
      </c>
      <c r="D208" s="4" t="str">
        <f aca="false">IF(AND(EXACT(B208,C208),NOT(AND(ISBLANK(B208),ISBLANK(C208)))), "Common", "")</f>
        <v/>
      </c>
    </row>
    <row r="209" customFormat="false" ht="15.75" hidden="false" customHeight="false" outlineLevel="0" collapsed="false">
      <c r="A209" s="3" t="s">
        <v>687</v>
      </c>
      <c r="B209" s="3" t="s">
        <v>445</v>
      </c>
      <c r="C209" s="3"/>
      <c r="D209" s="4" t="str">
        <f aca="false">IF(AND(EXACT(B209,C209),NOT(AND(ISBLANK(B209),ISBLANK(C209)))), "Common", "")</f>
        <v/>
      </c>
    </row>
    <row r="210" customFormat="false" ht="15.75" hidden="false" customHeight="false" outlineLevel="0" collapsed="false">
      <c r="A210" s="3" t="s">
        <v>687</v>
      </c>
      <c r="B210" s="3" t="s">
        <v>520</v>
      </c>
      <c r="C210" s="3" t="s">
        <v>520</v>
      </c>
      <c r="D210" s="4" t="str">
        <f aca="false">IF(AND(EXACT(B210,C210),NOT(AND(ISBLANK(B210),ISBLANK(C210)))), "Common", "")</f>
        <v>Common</v>
      </c>
    </row>
    <row r="211" customFormat="false" ht="15.75" hidden="false" customHeight="false" outlineLevel="0" collapsed="false">
      <c r="A211" s="3" t="s">
        <v>688</v>
      </c>
      <c r="B211" s="3"/>
      <c r="C211" s="3" t="s">
        <v>415</v>
      </c>
    </row>
    <row r="212" customFormat="false" ht="15.75" hidden="false" customHeight="false" outlineLevel="0" collapsed="false">
      <c r="A212" s="3" t="s">
        <v>687</v>
      </c>
      <c r="B212" s="3"/>
      <c r="C212" s="3" t="s">
        <v>476</v>
      </c>
    </row>
    <row r="213" customFormat="false" ht="15.75" hidden="false" customHeight="false" outlineLevel="0" collapsed="false">
      <c r="A213" s="3" t="s">
        <v>687</v>
      </c>
      <c r="B213" s="3"/>
      <c r="C213" s="3" t="s">
        <v>50</v>
      </c>
    </row>
    <row r="214" customFormat="false" ht="15.75" hidden="false" customHeight="false" outlineLevel="0" collapsed="false">
      <c r="A214" s="3" t="s">
        <v>689</v>
      </c>
      <c r="B214" s="3" t="s">
        <v>606</v>
      </c>
      <c r="C214" s="3" t="s">
        <v>606</v>
      </c>
      <c r="D214" s="4" t="str">
        <f aca="false">IF(AND(EXACT(B214,C214),NOT(AND(ISBLANK(B214),ISBLANK(C214)))), "Common", "")</f>
        <v>Common</v>
      </c>
      <c r="E214" s="3"/>
    </row>
    <row r="215" customFormat="false" ht="15.75" hidden="false" customHeight="false" outlineLevel="0" collapsed="false">
      <c r="A215" s="3" t="s">
        <v>689</v>
      </c>
      <c r="B215" s="3" t="s">
        <v>607</v>
      </c>
      <c r="C215" s="3" t="s">
        <v>607</v>
      </c>
      <c r="D215" s="4" t="str">
        <f aca="false">IF(AND(EXACT(B215,C215),NOT(AND(ISBLANK(B215),ISBLANK(C215)))), "Common", "")</f>
        <v>Common</v>
      </c>
    </row>
    <row r="216" customFormat="false" ht="15.75" hidden="false" customHeight="false" outlineLevel="0" collapsed="false">
      <c r="A216" s="3" t="s">
        <v>689</v>
      </c>
      <c r="B216" s="3"/>
      <c r="C216" s="3" t="s">
        <v>353</v>
      </c>
    </row>
    <row r="217" customFormat="false" ht="15.75" hidden="false" customHeight="false" outlineLevel="0" collapsed="false">
      <c r="A217" s="3" t="s">
        <v>690</v>
      </c>
      <c r="B217" s="3" t="s">
        <v>533</v>
      </c>
      <c r="C217" s="3"/>
      <c r="D217" s="4" t="str">
        <f aca="false">IF(AND(EXACT(B217,C217),NOT(AND(ISBLANK(B217),ISBLANK(C217)))), "Common", "")</f>
        <v/>
      </c>
    </row>
    <row r="218" customFormat="false" ht="15.75" hidden="false" customHeight="false" outlineLevel="0" collapsed="false">
      <c r="A218" s="3" t="s">
        <v>690</v>
      </c>
      <c r="B218" s="3" t="s">
        <v>625</v>
      </c>
      <c r="C218" s="3" t="s">
        <v>625</v>
      </c>
      <c r="D218" s="4" t="str">
        <f aca="false">IF(AND(EXACT(B218,C218),NOT(AND(ISBLANK(B218),ISBLANK(C218)))), "Common", "")</f>
        <v>Common</v>
      </c>
    </row>
    <row r="219" customFormat="false" ht="15.75" hidden="false" customHeight="false" outlineLevel="0" collapsed="false">
      <c r="A219" s="4"/>
      <c r="B219" s="3"/>
      <c r="C219" s="3"/>
      <c r="D219" s="4" t="str">
        <f aca="false">IF(AND(EXACT(B219,C219),NOT(AND(ISBLANK(B219),ISBLANK(C219)))), "Common", "")</f>
        <v/>
      </c>
    </row>
    <row r="220" customFormat="false" ht="15.75" hidden="false" customHeight="false" outlineLevel="0" collapsed="false">
      <c r="A220" s="4"/>
      <c r="B220" s="3"/>
      <c r="C220" s="3"/>
      <c r="D220" s="4" t="str">
        <f aca="false">IF(AND(EXACT(B220,C220),NOT(AND(ISBLANK(B220),ISBLANK(C220)))), "Common", "")</f>
        <v/>
      </c>
    </row>
    <row r="221" customFormat="false" ht="15.75" hidden="false" customHeight="false" outlineLevel="0" collapsed="false">
      <c r="A221" s="3"/>
      <c r="B221" s="3"/>
      <c r="C221" s="3"/>
    </row>
    <row r="222" customFormat="false" ht="15.75" hidden="false" customHeight="false" outlineLevel="0" collapsed="false">
      <c r="A222" s="3"/>
      <c r="B222" s="3"/>
      <c r="C222" s="3"/>
    </row>
    <row r="223" customFormat="false" ht="15.75" hidden="false" customHeight="false" outlineLevel="0" collapsed="false">
      <c r="A223" s="3"/>
      <c r="B223" s="3"/>
      <c r="C223" s="3"/>
    </row>
    <row r="224" customFormat="false" ht="15.75" hidden="false" customHeight="false" outlineLevel="0" collapsed="false">
      <c r="A224" s="3"/>
      <c r="B224" s="3"/>
      <c r="C224" s="3"/>
    </row>
    <row r="225" customFormat="false" ht="15.75" hidden="false" customHeight="false" outlineLevel="0" collapsed="false">
      <c r="A225" s="6" t="s">
        <v>691</v>
      </c>
      <c r="B225" s="3" t="s">
        <v>383</v>
      </c>
      <c r="C225" s="3" t="s">
        <v>383</v>
      </c>
      <c r="D225" s="3" t="str">
        <f aca="false">IF(AND(EXACT(B225,C225),NOT(AND(ISBLANK(B225),ISBLANK(C225)))), "Common", "")</f>
        <v>Common</v>
      </c>
    </row>
    <row r="226" customFormat="false" ht="15.75" hidden="false" customHeight="false" outlineLevel="0" collapsed="false">
      <c r="A226" s="6" t="s">
        <v>692</v>
      </c>
      <c r="B226" s="3" t="s">
        <v>388</v>
      </c>
      <c r="C226" s="3" t="s">
        <v>388</v>
      </c>
      <c r="D226" s="3" t="str">
        <f aca="false">IF(AND(EXACT(B226,C226),NOT(AND(ISBLANK(B226),ISBLANK(C226)))), "Common", "")</f>
        <v>Common</v>
      </c>
    </row>
    <row r="227" customFormat="false" ht="15.75" hidden="false" customHeight="false" outlineLevel="0" collapsed="false">
      <c r="A227" s="6" t="s">
        <v>691</v>
      </c>
      <c r="B227" s="3" t="s">
        <v>397</v>
      </c>
      <c r="C227" s="3" t="s">
        <v>397</v>
      </c>
      <c r="D227" s="3" t="str">
        <f aca="false">IF(AND(EXACT(B227,C227),NOT(AND(ISBLANK(B227),ISBLANK(C227)))), "Common", "")</f>
        <v>Common</v>
      </c>
    </row>
    <row r="228" customFormat="false" ht="15.75" hidden="false" customHeight="false" outlineLevel="0" collapsed="false">
      <c r="A228" s="6" t="s">
        <v>691</v>
      </c>
      <c r="B228" s="3" t="s">
        <v>480</v>
      </c>
      <c r="C228" s="3" t="s">
        <v>480</v>
      </c>
      <c r="D228" s="3" t="str">
        <f aca="false">IF(AND(EXACT(B228,C228),NOT(AND(ISBLANK(B228),ISBLANK(C228)))), "Common", "")</f>
        <v>Common</v>
      </c>
    </row>
    <row r="229" customFormat="false" ht="15.75" hidden="false" customHeight="false" outlineLevel="0" collapsed="false">
      <c r="A229" s="6" t="s">
        <v>693</v>
      </c>
      <c r="B229" s="3" t="s">
        <v>336</v>
      </c>
      <c r="C229" s="3" t="s">
        <v>335</v>
      </c>
      <c r="D229" s="3" t="str">
        <f aca="false">IF(AND(EXACT(B229,C229),NOT(AND(ISBLANK(B229),ISBLANK(C229)))), "Common", "")</f>
        <v/>
      </c>
    </row>
    <row r="230" customFormat="false" ht="15.75" hidden="false" customHeight="false" outlineLevel="0" collapsed="false">
      <c r="A230" s="6" t="s">
        <v>691</v>
      </c>
      <c r="B230" s="3" t="s">
        <v>501</v>
      </c>
      <c r="C230" s="3" t="s">
        <v>498</v>
      </c>
      <c r="D230" s="3" t="str">
        <f aca="false">IF(AND(EXACT(B230,C230),NOT(AND(ISBLANK(B230),ISBLANK(C230)))), "Common", "")</f>
        <v/>
      </c>
    </row>
    <row r="231" customFormat="false" ht="15.75" hidden="false" customHeight="false" outlineLevel="0" collapsed="false">
      <c r="A231" s="6" t="s">
        <v>691</v>
      </c>
      <c r="B231" s="3" t="s">
        <v>484</v>
      </c>
      <c r="C231" s="3"/>
      <c r="D231" s="3" t="str">
        <f aca="false">IF(AND(EXACT(B231,C231),NOT(AND(ISBLANK(B231),ISBLANK(C231)))), "Common", "")</f>
        <v/>
      </c>
    </row>
    <row r="232" customFormat="false" ht="15.75" hidden="false" customHeight="false" outlineLevel="0" collapsed="false">
      <c r="A232" s="6" t="s">
        <v>691</v>
      </c>
      <c r="B232" s="3"/>
      <c r="C232" s="3" t="s">
        <v>393</v>
      </c>
      <c r="D232" s="3" t="str">
        <f aca="false">IF(AND(EXACT(B232,C232),NOT(AND(ISBLANK(B232),ISBLANK(C232)))), "Common", "")</f>
        <v/>
      </c>
    </row>
    <row r="233" customFormat="false" ht="15.75" hidden="false" customHeight="false" outlineLevel="0" collapsed="false">
      <c r="A233" s="6" t="s">
        <v>691</v>
      </c>
      <c r="B233" s="3"/>
      <c r="C233" s="3" t="s">
        <v>524</v>
      </c>
      <c r="D233" s="3" t="str">
        <f aca="false">IF(AND(EXACT(B233,C233),NOT(AND(ISBLANK(B233),ISBLANK(C233)))), "Common", "")</f>
        <v/>
      </c>
    </row>
    <row r="234" customFormat="false" ht="15.75" hidden="false" customHeight="false" outlineLevel="0" collapsed="false">
      <c r="A234" s="6" t="s">
        <v>691</v>
      </c>
      <c r="B234" s="3" t="s">
        <v>33</v>
      </c>
      <c r="C234" s="3"/>
      <c r="D234" s="3" t="str">
        <f aca="false">IF(AND(EXACT(B234,C234),NOT(AND(ISBLANK(B234),ISBLANK(C234)))), "Common", "")</f>
        <v/>
      </c>
    </row>
    <row r="235" customFormat="false" ht="15.75" hidden="false" customHeight="false" outlineLevel="0" collapsed="false">
      <c r="A235" s="6" t="s">
        <v>691</v>
      </c>
      <c r="B235" s="3"/>
      <c r="C235" s="3" t="s">
        <v>474</v>
      </c>
      <c r="D235" s="3" t="str">
        <f aca="false">IF(AND(EXACT(B235,C235),NOT(AND(ISBLANK(B235),ISBLANK(C235)))), "Common", "")</f>
        <v/>
      </c>
    </row>
    <row r="236" customFormat="false" ht="15.75" hidden="false" customHeight="false" outlineLevel="0" collapsed="false">
      <c r="A236" s="6" t="s">
        <v>694</v>
      </c>
      <c r="B236" s="3" t="s">
        <v>569</v>
      </c>
      <c r="C236" s="3" t="s">
        <v>510</v>
      </c>
    </row>
    <row r="237" customFormat="false" ht="15.75" hidden="false" customHeight="false" outlineLevel="0" collapsed="false">
      <c r="A237" s="6" t="s">
        <v>691</v>
      </c>
      <c r="B237" s="3" t="s">
        <v>384</v>
      </c>
      <c r="C237" s="3"/>
    </row>
    <row r="238" customFormat="false" ht="15.75" hidden="false" customHeight="false" outlineLevel="0" collapsed="false">
      <c r="A238" s="3" t="s">
        <v>690</v>
      </c>
      <c r="B238" s="3" t="s">
        <v>107</v>
      </c>
      <c r="C238" s="3" t="s">
        <v>626</v>
      </c>
      <c r="D238" s="4" t="str">
        <f aca="false">IF(AND(EXACT(B238,C238),NOT(AND(ISBLANK(B238),ISBLANK(C238)))), "Common", "")</f>
        <v/>
      </c>
    </row>
    <row r="239" customFormat="false" ht="15.75" hidden="false" customHeight="false" outlineLevel="0" collapsed="false">
      <c r="A239" s="3" t="s">
        <v>690</v>
      </c>
      <c r="B239" s="3" t="s">
        <v>450</v>
      </c>
      <c r="C239" s="3" t="s">
        <v>626</v>
      </c>
      <c r="D239" s="4" t="str">
        <f aca="false">IF(AND(EXACT(B239,C239),NOT(AND(ISBLANK(B239),ISBLANK(C239)))), "Common", "")</f>
        <v/>
      </c>
    </row>
    <row r="240" customFormat="false" ht="15.75" hidden="false" customHeight="false" outlineLevel="0" collapsed="false">
      <c r="A240" s="3" t="s">
        <v>690</v>
      </c>
      <c r="B240" s="3" t="s">
        <v>622</v>
      </c>
      <c r="D240" s="4" t="str">
        <f aca="false">IF(AND(EXACT(B240,C240),NOT(AND(ISBLANK(B240),ISBLANK(C240)))), "Common", "")</f>
        <v/>
      </c>
    </row>
    <row r="241" customFormat="false" ht="15.75" hidden="false" customHeight="false" outlineLevel="0" collapsed="false">
      <c r="A241" s="4"/>
      <c r="B241" s="3"/>
      <c r="C241" s="3"/>
      <c r="D241" s="4" t="str">
        <f aca="false">IF(AND(EXACT(B241,C241),NOT(AND(ISBLANK(B241),ISBLANK(C241)))), "Common", "")</f>
        <v/>
      </c>
    </row>
    <row r="242" customFormat="false" ht="15.75" hidden="false" customHeight="false" outlineLevel="0" collapsed="false">
      <c r="A242" s="3" t="s">
        <v>690</v>
      </c>
      <c r="B242" s="3" t="s">
        <v>486</v>
      </c>
      <c r="C242" s="3"/>
      <c r="D242" s="4" t="str">
        <f aca="false">IF(AND(EXACT(B242,C242),NOT(AND(ISBLANK(B242),ISBLANK(C242)))), "Common", "")</f>
        <v/>
      </c>
    </row>
    <row r="243" customFormat="false" ht="15.75" hidden="false" customHeight="false" outlineLevel="0" collapsed="false">
      <c r="A243" s="3" t="s">
        <v>690</v>
      </c>
      <c r="B243" s="3"/>
      <c r="C243" s="3" t="s">
        <v>574</v>
      </c>
    </row>
    <row r="244" customFormat="false" ht="15.75" hidden="false" customHeight="false" outlineLevel="0" collapsed="false">
      <c r="A244" s="3" t="s">
        <v>690</v>
      </c>
      <c r="B244" s="3"/>
      <c r="C244" s="3" t="s">
        <v>580</v>
      </c>
    </row>
    <row r="245" customFormat="false" ht="15.75" hidden="false" customHeight="false" outlineLevel="0" collapsed="false">
      <c r="A245" s="3" t="s">
        <v>307</v>
      </c>
      <c r="B245" s="3" t="s">
        <v>545</v>
      </c>
      <c r="C245" s="3" t="s">
        <v>545</v>
      </c>
      <c r="D245" s="4" t="str">
        <f aca="false">IF(AND(EXACT(B245,C245),NOT(AND(ISBLANK(B245),ISBLANK(C245)))), "Common", "")</f>
        <v>Common</v>
      </c>
    </row>
    <row r="246" customFormat="false" ht="15.75" hidden="false" customHeight="false" outlineLevel="0" collapsed="false">
      <c r="A246" s="3" t="s">
        <v>307</v>
      </c>
      <c r="B246" s="3" t="s">
        <v>354</v>
      </c>
      <c r="C246" s="3" t="s">
        <v>354</v>
      </c>
      <c r="D246" s="4" t="str">
        <f aca="false">IF(AND(EXACT(B246,C246),NOT(AND(ISBLANK(B246),ISBLANK(C246)))), "Common", "")</f>
        <v>Common</v>
      </c>
    </row>
    <row r="247" customFormat="false" ht="15.75" hidden="false" customHeight="false" outlineLevel="0" collapsed="false">
      <c r="A247" s="3" t="s">
        <v>307</v>
      </c>
      <c r="B247" s="3" t="s">
        <v>356</v>
      </c>
      <c r="C247" s="3" t="s">
        <v>356</v>
      </c>
      <c r="D247" s="4" t="str">
        <f aca="false">IF(AND(EXACT(B247,C247),NOT(AND(ISBLANK(B247),ISBLANK(C247)))), "Common", "")</f>
        <v>Common</v>
      </c>
    </row>
    <row r="248" customFormat="false" ht="15.75" hidden="false" customHeight="false" outlineLevel="0" collapsed="false">
      <c r="A248" s="3" t="s">
        <v>307</v>
      </c>
      <c r="B248" s="3" t="s">
        <v>365</v>
      </c>
      <c r="C248" s="3" t="s">
        <v>365</v>
      </c>
      <c r="D248" s="4" t="str">
        <f aca="false">IF(AND(EXACT(B248,C248),NOT(AND(ISBLANK(B248),ISBLANK(C248)))), "Common", "")</f>
        <v>Common</v>
      </c>
    </row>
    <row r="249" customFormat="false" ht="15.75" hidden="false" customHeight="false" outlineLevel="0" collapsed="false">
      <c r="A249" s="3" t="s">
        <v>307</v>
      </c>
      <c r="B249" s="3" t="s">
        <v>354</v>
      </c>
      <c r="C249" s="3" t="s">
        <v>346</v>
      </c>
      <c r="D249" s="4" t="str">
        <f aca="false">IF(AND(EXACT(B249,C249),NOT(AND(ISBLANK(B249),ISBLANK(C249)))), "Common", "")</f>
        <v/>
      </c>
    </row>
    <row r="250" customFormat="false" ht="15.75" hidden="false" customHeight="false" outlineLevel="0" collapsed="false">
      <c r="A250" s="3" t="s">
        <v>307</v>
      </c>
      <c r="B250" s="3" t="s">
        <v>359</v>
      </c>
      <c r="C250" s="3" t="s">
        <v>368</v>
      </c>
      <c r="D250" s="4" t="str">
        <f aca="false">IF(AND(EXACT(B250,C250),NOT(AND(ISBLANK(B250),ISBLANK(C250)))), "Common", "")</f>
        <v/>
      </c>
    </row>
    <row r="251" customFormat="false" ht="15.75" hidden="false" customHeight="false" outlineLevel="0" collapsed="false">
      <c r="A251" s="3" t="s">
        <v>306</v>
      </c>
      <c r="B251" s="3" t="s">
        <v>695</v>
      </c>
      <c r="C251" s="3" t="s">
        <v>565</v>
      </c>
      <c r="D251" s="4" t="str">
        <f aca="false">IF(AND(EXACT(B251,C251),NOT(AND(ISBLANK(B251),ISBLANK(C251)))), "Common", "")</f>
        <v/>
      </c>
    </row>
    <row r="252" customFormat="false" ht="15.75" hidden="false" customHeight="false" outlineLevel="0" collapsed="false">
      <c r="A252" s="3" t="s">
        <v>305</v>
      </c>
      <c r="B252" s="3" t="s">
        <v>560</v>
      </c>
      <c r="C252" s="3" t="s">
        <v>560</v>
      </c>
      <c r="D252" s="4" t="str">
        <f aca="false">IF(AND(EXACT(B252,C252),NOT(AND(ISBLANK(B252),ISBLANK(C252)))), "Common", "")</f>
        <v>Common</v>
      </c>
    </row>
    <row r="253" customFormat="false" ht="15.75" hidden="false" customHeight="false" outlineLevel="0" collapsed="false">
      <c r="A253" s="3" t="s">
        <v>305</v>
      </c>
      <c r="B253" s="3" t="s">
        <v>561</v>
      </c>
      <c r="C253" s="3" t="s">
        <v>561</v>
      </c>
      <c r="D253" s="4" t="str">
        <f aca="false">IF(AND(EXACT(B253,C253),NOT(AND(ISBLANK(B253),ISBLANK(C253)))), "Common", "")</f>
        <v>Common</v>
      </c>
    </row>
    <row r="254" customFormat="false" ht="15.75" hidden="false" customHeight="false" outlineLevel="0" collapsed="false">
      <c r="A254" s="3" t="s">
        <v>307</v>
      </c>
      <c r="B254" s="3" t="s">
        <v>526</v>
      </c>
      <c r="C254" s="3" t="s">
        <v>526</v>
      </c>
      <c r="D254" s="4" t="str">
        <f aca="false">IF(AND(EXACT(B254,C254),NOT(AND(ISBLANK(B254),ISBLANK(C254)))), "Common", "")</f>
        <v>Common</v>
      </c>
    </row>
    <row r="255" customFormat="false" ht="15.75" hidden="false" customHeight="false" outlineLevel="0" collapsed="false">
      <c r="A255" s="3" t="s">
        <v>307</v>
      </c>
      <c r="B255" s="3" t="s">
        <v>528</v>
      </c>
      <c r="C255" s="3" t="s">
        <v>528</v>
      </c>
      <c r="D255" s="4" t="str">
        <f aca="false">IF(AND(EXACT(B255,C255),NOT(AND(ISBLANK(B255),ISBLANK(C255)))), "Common", "")</f>
        <v>Common</v>
      </c>
    </row>
    <row r="256" customFormat="false" ht="15.75" hidden="false" customHeight="false" outlineLevel="0" collapsed="false">
      <c r="A256" s="3" t="s">
        <v>307</v>
      </c>
      <c r="B256" s="3" t="s">
        <v>530</v>
      </c>
      <c r="C256" s="3" t="s">
        <v>530</v>
      </c>
      <c r="D256" s="4" t="str">
        <f aca="false">IF(AND(EXACT(B256,C256),NOT(AND(ISBLANK(B256),ISBLANK(C256)))), "Common", "")</f>
        <v>Common</v>
      </c>
    </row>
    <row r="257" customFormat="false" ht="15.75" hidden="false" customHeight="false" outlineLevel="0" collapsed="false">
      <c r="A257" s="3" t="s">
        <v>307</v>
      </c>
      <c r="B257" s="3" t="s">
        <v>532</v>
      </c>
      <c r="C257" s="3" t="s">
        <v>532</v>
      </c>
      <c r="D257" s="4" t="str">
        <f aca="false">IF(AND(EXACT(B257,C257),NOT(AND(ISBLANK(B257),ISBLANK(C257)))), "Common", "")</f>
        <v>Common</v>
      </c>
    </row>
    <row r="258" customFormat="false" ht="15.75" hidden="false" customHeight="false" outlineLevel="0" collapsed="false">
      <c r="A258" s="3" t="s">
        <v>306</v>
      </c>
      <c r="B258" s="3" t="s">
        <v>531</v>
      </c>
      <c r="C258" s="3"/>
    </row>
    <row r="259" customFormat="false" ht="15.75" hidden="false" customHeight="false" outlineLevel="0" collapsed="false">
      <c r="A259" s="3" t="s">
        <v>305</v>
      </c>
      <c r="B259" s="3" t="s">
        <v>581</v>
      </c>
      <c r="C259" s="3"/>
      <c r="D259" s="4" t="str">
        <f aca="false">IF(AND(EXACT(B259,C259),NOT(AND(ISBLANK(B259),ISBLANK(C259)))), "Common", "")</f>
        <v/>
      </c>
    </row>
    <row r="260" customFormat="false" ht="15.75" hidden="false" customHeight="false" outlineLevel="0" collapsed="false">
      <c r="A260" s="3" t="s">
        <v>307</v>
      </c>
      <c r="B260" s="3"/>
      <c r="C260" s="3" t="s">
        <v>534</v>
      </c>
      <c r="D260" s="4" t="str">
        <f aca="false">IF(AND(EXACT(B260,C260),NOT(AND(ISBLANK(B260),ISBLANK(C260)))), "Common", "")</f>
        <v/>
      </c>
    </row>
    <row r="261" customFormat="false" ht="15.75" hidden="false" customHeight="false" outlineLevel="0" collapsed="false">
      <c r="A261" s="3" t="s">
        <v>306</v>
      </c>
      <c r="B261" s="3" t="s">
        <v>420</v>
      </c>
      <c r="C261" s="3" t="s">
        <v>377</v>
      </c>
      <c r="D261" s="4" t="str">
        <f aca="false">IF(AND(EXACT(B261,C261),NOT(AND(ISBLANK(B261),ISBLANK(C261)))), "Common", "")</f>
        <v/>
      </c>
    </row>
    <row r="262" customFormat="false" ht="15.75" hidden="false" customHeight="false" outlineLevel="0" collapsed="false">
      <c r="A262" s="3" t="s">
        <v>306</v>
      </c>
      <c r="B262" s="3"/>
      <c r="C262" s="3" t="s">
        <v>379</v>
      </c>
    </row>
    <row r="263" customFormat="false" ht="15.75" hidden="false" customHeight="false" outlineLevel="0" collapsed="false">
      <c r="A263" s="3" t="s">
        <v>306</v>
      </c>
      <c r="B263" s="3"/>
      <c r="C263" s="3" t="s">
        <v>418</v>
      </c>
    </row>
    <row r="264" customFormat="false" ht="15.75" hidden="false" customHeight="false" outlineLevel="0" collapsed="false">
      <c r="A264" s="3" t="s">
        <v>305</v>
      </c>
      <c r="B264" s="3" t="s">
        <v>495</v>
      </c>
      <c r="C264" s="3" t="s">
        <v>490</v>
      </c>
      <c r="D264" s="4" t="str">
        <f aca="false">IF(AND(EXACT(B264,C264),NOT(AND(ISBLANK(B264),ISBLANK(C264)))), "Common", "")</f>
        <v/>
      </c>
    </row>
    <row r="265" customFormat="false" ht="15.75" hidden="false" customHeight="false" outlineLevel="0" collapsed="false">
      <c r="A265" s="3" t="s">
        <v>306</v>
      </c>
      <c r="B265" s="3"/>
      <c r="C265" s="3" t="s">
        <v>573</v>
      </c>
      <c r="D265" s="4" t="str">
        <f aca="false">IF(AND(EXACT(B265,C265),NOT(AND(ISBLANK(B265),ISBLANK(C265)))), "Common", "")</f>
        <v/>
      </c>
    </row>
    <row r="266" customFormat="false" ht="15.75" hidden="false" customHeight="false" outlineLevel="0" collapsed="false">
      <c r="A266" s="3" t="s">
        <v>306</v>
      </c>
      <c r="B266" s="3" t="s">
        <v>472</v>
      </c>
      <c r="C266" s="3" t="s">
        <v>472</v>
      </c>
      <c r="D266" s="4" t="str">
        <f aca="false">IF(AND(EXACT(B266,C266),NOT(AND(ISBLANK(B266),ISBLANK(C266)))), "Common", "")</f>
        <v>Common</v>
      </c>
    </row>
    <row r="267" customFormat="false" ht="15.75" hidden="false" customHeight="false" outlineLevel="0" collapsed="false">
      <c r="A267" s="3" t="s">
        <v>306</v>
      </c>
      <c r="B267" s="3" t="s">
        <v>405</v>
      </c>
      <c r="C267" s="3" t="s">
        <v>405</v>
      </c>
      <c r="D267" s="4" t="str">
        <f aca="false">IF(AND(EXACT(B267,C267),NOT(AND(ISBLANK(B267),ISBLANK(C267)))), "Common", "")</f>
        <v>Common</v>
      </c>
    </row>
    <row r="268" customFormat="false" ht="15.75" hidden="false" customHeight="false" outlineLevel="0" collapsed="false">
      <c r="A268" s="3" t="s">
        <v>305</v>
      </c>
      <c r="B268" s="3" t="s">
        <v>489</v>
      </c>
      <c r="C268" s="3" t="s">
        <v>489</v>
      </c>
      <c r="D268" s="4" t="str">
        <f aca="false">IF(AND(EXACT(B268,C268),NOT(AND(ISBLANK(B268),ISBLANK(C268)))), "Common", "")</f>
        <v>Common</v>
      </c>
    </row>
    <row r="269" customFormat="false" ht="15.75" hidden="false" customHeight="false" outlineLevel="0" collapsed="false">
      <c r="A269" s="3" t="s">
        <v>305</v>
      </c>
      <c r="B269" s="3"/>
      <c r="C269" s="3" t="s">
        <v>488</v>
      </c>
    </row>
    <row r="270" customFormat="false" ht="15.75" hidden="false" customHeight="false" outlineLevel="0" collapsed="false">
      <c r="A270" s="3" t="s">
        <v>305</v>
      </c>
      <c r="B270" s="3" t="s">
        <v>490</v>
      </c>
      <c r="C270" s="3" t="s">
        <v>490</v>
      </c>
      <c r="D270" s="4" t="str">
        <f aca="false">IF(AND(EXACT(B270,C270),NOT(AND(ISBLANK(B270),ISBLANK(C270)))), "Common", "")</f>
        <v>Common</v>
      </c>
    </row>
    <row r="271" customFormat="false" ht="15.75" hidden="false" customHeight="false" outlineLevel="0" collapsed="false">
      <c r="A271" s="3" t="s">
        <v>305</v>
      </c>
      <c r="B271" s="3"/>
      <c r="C271" s="3" t="s">
        <v>492</v>
      </c>
    </row>
    <row r="272" customFormat="false" ht="15.75" hidden="false" customHeight="false" outlineLevel="0" collapsed="false">
      <c r="A272" s="3" t="s">
        <v>305</v>
      </c>
      <c r="B272" s="3" t="s">
        <v>494</v>
      </c>
      <c r="C272" s="3" t="s">
        <v>494</v>
      </c>
      <c r="D272" s="4" t="str">
        <f aca="false">IF(AND(EXACT(B272,C272),NOT(AND(ISBLANK(B272),ISBLANK(C272)))), "Common", "")</f>
        <v>Common</v>
      </c>
    </row>
    <row r="273" customFormat="false" ht="15.75" hidden="false" customHeight="false" outlineLevel="0" collapsed="false">
      <c r="A273" s="3" t="s">
        <v>690</v>
      </c>
      <c r="B273" s="3" t="s">
        <v>273</v>
      </c>
      <c r="C273" s="3" t="s">
        <v>273</v>
      </c>
      <c r="D273" s="4" t="str">
        <f aca="false">IF(AND(EXACT(B273,C273),NOT(AND(ISBLANK(B273),ISBLANK(C273)))), "Common", "")</f>
        <v>Common</v>
      </c>
    </row>
    <row r="274" customFormat="false" ht="15.75" hidden="false" customHeight="false" outlineLevel="0" collapsed="false">
      <c r="A274" s="3" t="s">
        <v>305</v>
      </c>
      <c r="B274" s="3" t="s">
        <v>581</v>
      </c>
      <c r="C274" s="3"/>
      <c r="D274" s="4" t="str">
        <f aca="false">IF(AND(EXACT(B274,C274),NOT(AND(ISBLANK(B274),ISBLANK(C274)))), "Common", "")</f>
        <v/>
      </c>
    </row>
    <row r="275" customFormat="false" ht="15.75" hidden="false" customHeight="false" outlineLevel="0" collapsed="false">
      <c r="A275" s="4"/>
      <c r="B275" s="3"/>
      <c r="C275" s="3"/>
    </row>
    <row r="276" customFormat="false" ht="15.75" hidden="false" customHeight="false" outlineLevel="0" collapsed="false">
      <c r="A276" s="3" t="s">
        <v>307</v>
      </c>
      <c r="B276" s="3" t="s">
        <v>537</v>
      </c>
      <c r="C276" s="3" t="s">
        <v>539</v>
      </c>
      <c r="D276" s="7" t="e">
        <f aca="false">IF(AND(EXACT(#REF!,#REF!),NOT(AND(ISBLANK(#REF!),ISBLANK(#REF!)))), "Common", "")</f>
        <v>#REF!</v>
      </c>
    </row>
    <row r="277" customFormat="false" ht="15.75" hidden="false" customHeight="false" outlineLevel="0" collapsed="false">
      <c r="A277" s="3" t="s">
        <v>307</v>
      </c>
      <c r="B277" s="3" t="s">
        <v>154</v>
      </c>
      <c r="C277" s="3" t="s">
        <v>154</v>
      </c>
    </row>
    <row r="278" customFormat="false" ht="15.75" hidden="false" customHeight="false" outlineLevel="0" collapsed="false">
      <c r="A278" s="3" t="s">
        <v>307</v>
      </c>
      <c r="B278" s="3" t="s">
        <v>537</v>
      </c>
      <c r="C278" s="3" t="s">
        <v>537</v>
      </c>
    </row>
    <row r="279" customFormat="false" ht="15.75" hidden="false" customHeight="false" outlineLevel="0" collapsed="false">
      <c r="A279" s="3" t="s">
        <v>307</v>
      </c>
      <c r="B279" s="3" t="s">
        <v>543</v>
      </c>
      <c r="C279" s="3"/>
      <c r="D279" s="4" t="str">
        <f aca="false">IF(AND(EXACT(B279,C279),NOT(AND(ISBLANK(B279),ISBLANK(C279)))), "Common", "")</f>
        <v/>
      </c>
    </row>
    <row r="280" customFormat="false" ht="15.75" hidden="false" customHeight="false" outlineLevel="0" collapsed="false">
      <c r="A280" s="3" t="s">
        <v>307</v>
      </c>
      <c r="B280" s="3" t="s">
        <v>544</v>
      </c>
      <c r="C280" s="3"/>
      <c r="D280" s="4" t="str">
        <f aca="false">IF(AND(EXACT(B280,C280),NOT(AND(ISBLANK(B280),ISBLANK(C280)))), "Common", "")</f>
        <v/>
      </c>
    </row>
    <row r="281" customFormat="false" ht="15.75" hidden="false" customHeight="false" outlineLevel="0" collapsed="false">
      <c r="A281" s="3" t="s">
        <v>307</v>
      </c>
      <c r="B281" s="3" t="s">
        <v>569</v>
      </c>
      <c r="C281" s="3" t="s">
        <v>510</v>
      </c>
      <c r="D281" s="4" t="str">
        <f aca="false">IF(AND(EXACT(B281,C281),NOT(AND(ISBLANK(B281),ISBLANK(C281)))), "Common", "")</f>
        <v/>
      </c>
    </row>
    <row r="282" customFormat="false" ht="15.75" hidden="false" customHeight="false" outlineLevel="0" collapsed="false">
      <c r="A282" s="3" t="s">
        <v>306</v>
      </c>
      <c r="B282" s="3"/>
      <c r="C282" s="3" t="s">
        <v>421</v>
      </c>
    </row>
    <row r="283" customFormat="false" ht="15.75" hidden="false" customHeight="false" outlineLevel="0" collapsed="false">
      <c r="A283" s="3" t="s">
        <v>690</v>
      </c>
      <c r="B283" s="3" t="s">
        <v>521</v>
      </c>
      <c r="C283" s="3" t="s">
        <v>521</v>
      </c>
      <c r="D283" s="4" t="str">
        <f aca="false">IF(AND(EXACT(B283,C283),NOT(AND(ISBLANK(B283),ISBLANK(C283)))), "Common", "")</f>
        <v>Common</v>
      </c>
    </row>
    <row r="284" customFormat="false" ht="15.75" hidden="false" customHeight="false" outlineLevel="0" collapsed="false">
      <c r="A284" s="3" t="s">
        <v>306</v>
      </c>
      <c r="B284" s="3" t="s">
        <v>508</v>
      </c>
      <c r="C284" s="3" t="s">
        <v>508</v>
      </c>
      <c r="D284" s="4" t="str">
        <f aca="false">IF(AND(EXACT(B284,C284),NOT(AND(ISBLANK(B284),ISBLANK(C284)))), "Common", "")</f>
        <v>Common</v>
      </c>
    </row>
    <row r="285" customFormat="false" ht="15.75" hidden="false" customHeight="false" outlineLevel="0" collapsed="false">
      <c r="A285" s="3" t="s">
        <v>305</v>
      </c>
      <c r="B285" s="3" t="s">
        <v>503</v>
      </c>
      <c r="C285" s="3" t="s">
        <v>503</v>
      </c>
      <c r="D285" s="4" t="str">
        <f aca="false">IF(AND(EXACT(B285,C285),NOT(AND(ISBLANK(B285),ISBLANK(C285)))), "Common", "")</f>
        <v>Common</v>
      </c>
    </row>
    <row r="286" customFormat="false" ht="15.75" hidden="false" customHeight="false" outlineLevel="0" collapsed="false">
      <c r="A286" s="3" t="s">
        <v>305</v>
      </c>
      <c r="B286" s="10" t="s">
        <v>559</v>
      </c>
      <c r="C286" s="3"/>
    </row>
    <row r="287" customFormat="false" ht="15.75" hidden="false" customHeight="false" outlineLevel="0" collapsed="false">
      <c r="A287" s="3" t="s">
        <v>690</v>
      </c>
      <c r="B287" s="3" t="s">
        <v>407</v>
      </c>
      <c r="C287" s="3" t="s">
        <v>407</v>
      </c>
      <c r="D287" s="4" t="str">
        <f aca="false">IF(AND(EXACT(B287,C287),NOT(AND(ISBLANK(B287),ISBLANK(C287)))), "Common", "")</f>
        <v>Common</v>
      </c>
    </row>
    <row r="288" customFormat="false" ht="15.75" hidden="false" customHeight="false" outlineLevel="0" collapsed="false">
      <c r="A288" s="3" t="s">
        <v>306</v>
      </c>
      <c r="B288" s="3" t="s">
        <v>420</v>
      </c>
      <c r="C288" s="3" t="s">
        <v>420</v>
      </c>
      <c r="D288" s="4" t="str">
        <f aca="false">IF(AND(EXACT(B288,C288),NOT(AND(ISBLANK(B288),ISBLANK(C288)))), "Common", "")</f>
        <v>Common</v>
      </c>
    </row>
    <row r="289" customFormat="false" ht="15.75" hidden="false" customHeight="false" outlineLevel="0" collapsed="false">
      <c r="A289" s="3" t="s">
        <v>696</v>
      </c>
      <c r="B289" s="3" t="s">
        <v>367</v>
      </c>
      <c r="C289" s="3" t="s">
        <v>367</v>
      </c>
      <c r="D289" s="4" t="str">
        <f aca="false">IF(AND(EXACT(B289,C289),NOT(AND(ISBLANK(B289),ISBLANK(C289)))), "Common", "")</f>
        <v>Common</v>
      </c>
    </row>
    <row r="290" customFormat="false" ht="15.75" hidden="false" customHeight="false" outlineLevel="0" collapsed="false">
      <c r="A290" s="3" t="s">
        <v>697</v>
      </c>
      <c r="B290" s="3" t="s">
        <v>566</v>
      </c>
      <c r="C290" s="3" t="s">
        <v>566</v>
      </c>
      <c r="D290" s="4" t="str">
        <f aca="false">IF(AND(EXACT(B290,C290),NOT(AND(ISBLANK(B290),ISBLANK(C290)))), "Common", "")</f>
        <v>Common</v>
      </c>
    </row>
    <row r="291" customFormat="false" ht="15.75" hidden="false" customHeight="false" outlineLevel="0" collapsed="false">
      <c r="A291" s="4"/>
    </row>
    <row r="292" customFormat="false" ht="15.75" hidden="false" customHeight="false" outlineLevel="0" collapsed="false">
      <c r="A292" s="3" t="s">
        <v>698</v>
      </c>
      <c r="B292" s="3" t="s">
        <v>410</v>
      </c>
      <c r="C292" s="3" t="s">
        <v>410</v>
      </c>
      <c r="D292" s="4" t="str">
        <f aca="false">IF(AND(EXACT(B292,C292),NOT(AND(ISBLANK(B292),ISBLANK(C292)))), "Common", "")</f>
        <v>Common</v>
      </c>
    </row>
    <row r="293" customFormat="false" ht="15.75" hidden="false" customHeight="false" outlineLevel="0" collapsed="false">
      <c r="A293" s="3" t="s">
        <v>698</v>
      </c>
      <c r="B293" s="3" t="s">
        <v>417</v>
      </c>
      <c r="C293" s="3"/>
    </row>
    <row r="294" customFormat="false" ht="15.75" hidden="false" customHeight="false" outlineLevel="0" collapsed="false">
      <c r="A294" s="3" t="s">
        <v>699</v>
      </c>
      <c r="B294" s="11"/>
      <c r="C294" s="3" t="s">
        <v>447</v>
      </c>
    </row>
    <row r="295" customFormat="false" ht="15.75" hidden="false" customHeight="false" outlineLevel="0" collapsed="false">
      <c r="A295" s="3" t="s">
        <v>690</v>
      </c>
      <c r="B295" s="3" t="s">
        <v>187</v>
      </c>
      <c r="C295" s="3" t="s">
        <v>187</v>
      </c>
      <c r="D295" s="4" t="str">
        <f aca="false">IF(AND(EXACT(B295,C295),NOT(AND(ISBLANK(B295),ISBLANK(C295)))), "Common", "")</f>
        <v>Common</v>
      </c>
    </row>
    <row r="296" customFormat="false" ht="15.75" hidden="false" customHeight="false" outlineLevel="0" collapsed="false">
      <c r="A296" s="3" t="s">
        <v>690</v>
      </c>
      <c r="B296" s="3" t="s">
        <v>90</v>
      </c>
      <c r="C296" s="3" t="s">
        <v>90</v>
      </c>
      <c r="D296" s="4" t="str">
        <f aca="false">IF(AND(EXACT(B296,C296),NOT(AND(ISBLANK(B296),ISBLANK(C296)))), "Common", "")</f>
        <v>Common</v>
      </c>
    </row>
    <row r="297" customFormat="false" ht="15.75" hidden="false" customHeight="false" outlineLevel="0" collapsed="false">
      <c r="A297" s="3" t="s">
        <v>690</v>
      </c>
      <c r="B297" s="3" t="s">
        <v>432</v>
      </c>
      <c r="C297" s="3" t="s">
        <v>432</v>
      </c>
      <c r="D297" s="4" t="str">
        <f aca="false">IF(AND(EXACT(B297,C297),NOT(AND(ISBLANK(B297),ISBLANK(C297)))), "Common", "")</f>
        <v>Common</v>
      </c>
    </row>
    <row r="298" customFormat="false" ht="15.75" hidden="false" customHeight="false" outlineLevel="0" collapsed="false">
      <c r="A298" s="3" t="s">
        <v>690</v>
      </c>
      <c r="B298" s="3" t="s">
        <v>434</v>
      </c>
      <c r="C298" s="3" t="s">
        <v>434</v>
      </c>
      <c r="D298" s="4" t="str">
        <f aca="false">IF(AND(EXACT(B298,C298),NOT(AND(ISBLANK(B298),ISBLANK(C298)))), "Common", "")</f>
        <v>Common</v>
      </c>
    </row>
    <row r="299" customFormat="false" ht="15.75" hidden="false" customHeight="false" outlineLevel="0" collapsed="false">
      <c r="A299" s="3" t="s">
        <v>690</v>
      </c>
      <c r="B299" s="3" t="s">
        <v>435</v>
      </c>
      <c r="C299" s="3"/>
    </row>
    <row r="300" customFormat="false" ht="15.75" hidden="false" customHeight="false" outlineLevel="0" collapsed="false">
      <c r="A300" s="3" t="s">
        <v>690</v>
      </c>
      <c r="B300" s="3" t="s">
        <v>437</v>
      </c>
      <c r="C300" s="3"/>
    </row>
    <row r="301" customFormat="false" ht="15.75" hidden="false" customHeight="false" outlineLevel="0" collapsed="false">
      <c r="A301" s="3" t="s">
        <v>690</v>
      </c>
      <c r="B301" s="3" t="s">
        <v>430</v>
      </c>
      <c r="C301" s="3"/>
    </row>
    <row r="302" customFormat="false" ht="15.75" hidden="false" customHeight="false" outlineLevel="0" collapsed="false">
      <c r="A302" s="3" t="s">
        <v>690</v>
      </c>
      <c r="B302" s="3"/>
      <c r="C302" s="3" t="s">
        <v>436</v>
      </c>
    </row>
    <row r="303" customFormat="false" ht="15.75" hidden="false" customHeight="false" outlineLevel="0" collapsed="false">
      <c r="A303" s="3" t="s">
        <v>690</v>
      </c>
      <c r="B303" s="3"/>
      <c r="C303" s="3" t="s">
        <v>431</v>
      </c>
    </row>
    <row r="304" customFormat="false" ht="15.75" hidden="false" customHeight="false" outlineLevel="0" collapsed="false">
      <c r="A304" s="3" t="s">
        <v>690</v>
      </c>
      <c r="B304" s="3"/>
      <c r="C304" s="3" t="s">
        <v>433</v>
      </c>
    </row>
    <row r="305" customFormat="false" ht="15.75" hidden="false" customHeight="false" outlineLevel="0" collapsed="false">
      <c r="A305" s="3" t="s">
        <v>690</v>
      </c>
      <c r="B305" s="3"/>
      <c r="C305" s="3" t="s">
        <v>428</v>
      </c>
    </row>
    <row r="306" customFormat="false" ht="15.75" hidden="false" customHeight="false" outlineLevel="0" collapsed="false">
      <c r="A306" s="3" t="s">
        <v>689</v>
      </c>
      <c r="B306" s="3" t="s">
        <v>19</v>
      </c>
      <c r="C306" s="3" t="s">
        <v>19</v>
      </c>
      <c r="D306" s="4" t="str">
        <f aca="false">IF(AND(EXACT(B306,C306),NOT(AND(ISBLANK(B306),ISBLANK(C306)))), "Common", "")</f>
        <v>Common</v>
      </c>
    </row>
    <row r="307" customFormat="false" ht="15.75" hidden="false" customHeight="false" outlineLevel="0" collapsed="false">
      <c r="A307" s="3" t="s">
        <v>690</v>
      </c>
      <c r="B307" s="3" t="s">
        <v>568</v>
      </c>
      <c r="C307" s="3" t="s">
        <v>568</v>
      </c>
      <c r="D307" s="4" t="str">
        <f aca="false">IF(AND(EXACT(B307,C307),NOT(AND(ISBLANK(B307),ISBLANK(C307)))), "Common", "")</f>
        <v>Common</v>
      </c>
    </row>
    <row r="308" customFormat="false" ht="15.75" hidden="false" customHeight="false" outlineLevel="0" collapsed="false">
      <c r="A308" s="3" t="s">
        <v>700</v>
      </c>
      <c r="B308" s="3"/>
      <c r="C308" s="3" t="s">
        <v>564</v>
      </c>
    </row>
    <row r="309" customFormat="false" ht="15.75" hidden="false" customHeight="false" outlineLevel="0" collapsed="false">
      <c r="A309" s="3" t="s">
        <v>701</v>
      </c>
      <c r="B309" s="3" t="s">
        <v>371</v>
      </c>
      <c r="C309" s="3" t="s">
        <v>371</v>
      </c>
      <c r="D309" s="4" t="str">
        <f aca="false">IF(AND(EXACT(B309,C309),NOT(AND(ISBLANK(B309),ISBLANK(C309)))), "Common", "")</f>
        <v>Common</v>
      </c>
      <c r="E309" s="3"/>
    </row>
    <row r="310" customFormat="false" ht="15.75" hidden="false" customHeight="false" outlineLevel="0" collapsed="false">
      <c r="A310" s="3" t="s">
        <v>701</v>
      </c>
      <c r="B310" s="3" t="s">
        <v>371</v>
      </c>
      <c r="C310" s="3" t="s">
        <v>371</v>
      </c>
      <c r="D310" s="4" t="str">
        <f aca="false">IF(AND(EXACT(B310,C310),NOT(AND(ISBLANK(B310),ISBLANK(C310)))), "Common", "")</f>
        <v>Common</v>
      </c>
    </row>
    <row r="311" customFormat="false" ht="15.75" hidden="false" customHeight="false" outlineLevel="0" collapsed="false">
      <c r="A311" s="3" t="s">
        <v>701</v>
      </c>
      <c r="B311" s="3" t="s">
        <v>372</v>
      </c>
      <c r="C311" s="3" t="s">
        <v>376</v>
      </c>
      <c r="D311" s="4" t="str">
        <f aca="false">IF(AND(EXACT(B311,C311),NOT(AND(ISBLANK(B311),ISBLANK(C311)))), "Common", "")</f>
        <v/>
      </c>
    </row>
    <row r="312" customFormat="false" ht="15.75" hidden="false" customHeight="false" outlineLevel="0" collapsed="false">
      <c r="A312" s="3" t="s">
        <v>701</v>
      </c>
      <c r="B312" s="3" t="s">
        <v>373</v>
      </c>
      <c r="C312" s="3"/>
      <c r="D312" s="4" t="str">
        <f aca="false">IF(AND(EXACT(B312,C312),NOT(AND(ISBLANK(B312),ISBLANK(C312)))), "Common", "")</f>
        <v/>
      </c>
    </row>
    <row r="313" customFormat="false" ht="15.75" hidden="false" customHeight="false" outlineLevel="0" collapsed="false">
      <c r="A313" s="3" t="s">
        <v>701</v>
      </c>
      <c r="B313" s="3" t="s">
        <v>375</v>
      </c>
      <c r="C313" s="3"/>
      <c r="D313" s="4" t="str">
        <f aca="false">IF(AND(EXACT(B313,C313),NOT(AND(ISBLANK(B313),ISBLANK(C313)))), "Common", "")</f>
        <v/>
      </c>
    </row>
    <row r="314" customFormat="false" ht="15.75" hidden="false" customHeight="false" outlineLevel="0" collapsed="false">
      <c r="A314" s="3" t="s">
        <v>701</v>
      </c>
      <c r="B314" s="3" t="s">
        <v>371</v>
      </c>
      <c r="D314" s="4" t="str">
        <f aca="false">IF(AND(EXACT(B314,C216),NOT(AND(ISBLANK(B314),ISBLANK(C216)))), "Common", "")</f>
        <v/>
      </c>
    </row>
    <row r="315" customFormat="false" ht="15.75" hidden="false" customHeight="false" outlineLevel="0" collapsed="false">
      <c r="A315" s="3" t="s">
        <v>701</v>
      </c>
      <c r="B315" s="3" t="s">
        <v>369</v>
      </c>
      <c r="C315" s="3" t="s">
        <v>371</v>
      </c>
      <c r="D315" s="4" t="str">
        <f aca="false">IF(AND(EXACT(B315,C315),NOT(AND(ISBLANK(B315),ISBLANK(C315)))), "Common", "")</f>
        <v/>
      </c>
    </row>
    <row r="316" customFormat="false" ht="15.75" hidden="false" customHeight="false" outlineLevel="0" collapsed="false">
      <c r="A316" s="3" t="s">
        <v>702</v>
      </c>
      <c r="B316" s="3" t="s">
        <v>571</v>
      </c>
      <c r="C316" s="3" t="s">
        <v>571</v>
      </c>
      <c r="D316" s="4" t="str">
        <f aca="false">IF(AND(EXACT(B316,C316),NOT(AND(ISBLANK(B316),ISBLANK(C316)))), "Common", "")</f>
        <v>Common</v>
      </c>
    </row>
    <row r="317" customFormat="false" ht="15.75" hidden="false" customHeight="false" outlineLevel="0" collapsed="false">
      <c r="A317" s="3" t="s">
        <v>702</v>
      </c>
      <c r="B317" s="3" t="s">
        <v>596</v>
      </c>
      <c r="C317" s="3"/>
      <c r="D317" s="4" t="str">
        <f aca="false">IF(AND(EXACT(B317,C317),NOT(AND(ISBLANK(B317),ISBLANK(C317)))), "Common", "")</f>
        <v/>
      </c>
    </row>
    <row r="318" customFormat="false" ht="15.75" hidden="false" customHeight="false" outlineLevel="0" collapsed="false">
      <c r="A318" s="3" t="s">
        <v>702</v>
      </c>
      <c r="B318" s="3" t="s">
        <v>598</v>
      </c>
      <c r="C318" s="3"/>
      <c r="D318" s="4" t="str">
        <f aca="false">IF(AND(EXACT(B318,C318),NOT(AND(ISBLANK(B318),ISBLANK(C318)))), "Common", "")</f>
        <v/>
      </c>
    </row>
    <row r="319" customFormat="false" ht="15.75" hidden="false" customHeight="false" outlineLevel="0" collapsed="false">
      <c r="A319" s="3" t="s">
        <v>702</v>
      </c>
      <c r="B319" s="3" t="s">
        <v>590</v>
      </c>
      <c r="C319" s="3" t="s">
        <v>571</v>
      </c>
      <c r="D319" s="4" t="str">
        <f aca="false">IF(AND(EXACT(B319,C319),NOT(AND(ISBLANK(B319),ISBLANK(C319)))), "Common", "")</f>
        <v/>
      </c>
    </row>
    <row r="320" customFormat="false" ht="15.75" hidden="false" customHeight="false" outlineLevel="0" collapsed="false">
      <c r="A320" s="3" t="s">
        <v>702</v>
      </c>
      <c r="B320" s="3"/>
      <c r="C320" s="3" t="s">
        <v>570</v>
      </c>
      <c r="D320" s="4" t="str">
        <f aca="false">IF(AND(EXACT(B320,C320),NOT(AND(ISBLANK(B320),ISBLANK(C320)))), "Common", "")</f>
        <v/>
      </c>
    </row>
    <row r="321" customFormat="false" ht="15.75" hidden="false" customHeight="false" outlineLevel="0" collapsed="false">
      <c r="A321" s="3" t="s">
        <v>702</v>
      </c>
      <c r="B321" s="3"/>
      <c r="C321" s="3" t="s">
        <v>548</v>
      </c>
    </row>
    <row r="322" customFormat="false" ht="15.75" hidden="false" customHeight="false" outlineLevel="0" collapsed="false">
      <c r="A322" s="3" t="s">
        <v>703</v>
      </c>
      <c r="B322" s="3" t="s">
        <v>629</v>
      </c>
      <c r="D322" s="4" t="str">
        <f aca="false">IF(AND(EXACT(B322,C46),NOT(AND(ISBLANK(B322),ISBLANK(C46)))), "Common", "")</f>
        <v/>
      </c>
    </row>
    <row r="323" customFormat="false" ht="15.75" hidden="false" customHeight="false" outlineLevel="0" collapsed="false">
      <c r="A323" s="3" t="s">
        <v>703</v>
      </c>
      <c r="B323" s="3" t="s">
        <v>525</v>
      </c>
      <c r="C323" s="3"/>
    </row>
    <row r="324" customFormat="false" ht="15.75" hidden="false" customHeight="false" outlineLevel="0" collapsed="false">
      <c r="A324" s="3" t="s">
        <v>318</v>
      </c>
      <c r="B324" s="3"/>
      <c r="C324" s="3" t="s">
        <v>439</v>
      </c>
      <c r="D324" s="4" t="str">
        <f aca="false">IF(AND(EXACT(B324,C324),NOT(AND(ISBLANK(B324),ISBLANK(C324)))), "Common", "")</f>
        <v/>
      </c>
    </row>
    <row r="325" customFormat="false" ht="15.75" hidden="false" customHeight="false" outlineLevel="0" collapsed="false">
      <c r="A325" s="3" t="s">
        <v>318</v>
      </c>
      <c r="B325" s="3"/>
      <c r="C325" s="3" t="s">
        <v>441</v>
      </c>
      <c r="D325" s="4" t="str">
        <f aca="false">IF(AND(EXACT(B325,C325),NOT(AND(ISBLANK(B325),ISBLANK(C325)))), "Common", "")</f>
        <v/>
      </c>
    </row>
    <row r="326" customFormat="false" ht="15.75" hidden="false" customHeight="false" outlineLevel="0" collapsed="false">
      <c r="A326" s="3" t="s">
        <v>699</v>
      </c>
      <c r="B326" s="3" t="s">
        <v>595</v>
      </c>
      <c r="C326" s="3" t="s">
        <v>595</v>
      </c>
      <c r="D326" s="4" t="str">
        <f aca="false">IF(AND(EXACT(B326,C326),NOT(AND(ISBLANK(B326),ISBLANK(C326)))), "Common", "")</f>
        <v>Common</v>
      </c>
    </row>
    <row r="327" customFormat="false" ht="15.75" hidden="false" customHeight="false" outlineLevel="0" collapsed="false">
      <c r="A327" s="3" t="s">
        <v>699</v>
      </c>
      <c r="B327" s="3" t="s">
        <v>597</v>
      </c>
      <c r="C327" s="3" t="s">
        <v>597</v>
      </c>
      <c r="D327" s="4" t="str">
        <f aca="false">IF(AND(EXACT(B327,C327),NOT(AND(ISBLANK(B327),ISBLANK(C327)))), "Common", "")</f>
        <v>Common</v>
      </c>
    </row>
    <row r="328" customFormat="false" ht="15.75" hidden="false" customHeight="false" outlineLevel="0" collapsed="false">
      <c r="A328" s="3" t="s">
        <v>704</v>
      </c>
      <c r="B328" s="3" t="s">
        <v>599</v>
      </c>
      <c r="C328" s="3" t="s">
        <v>599</v>
      </c>
      <c r="D328" s="4" t="str">
        <f aca="false">IF(AND(EXACT(B328,C328),NOT(AND(ISBLANK(B328),ISBLANK(C328)))), "Common", "")</f>
        <v>Common</v>
      </c>
    </row>
    <row r="329" customFormat="false" ht="15.75" hidden="false" customHeight="false" outlineLevel="0" collapsed="false">
      <c r="A329" s="3" t="s">
        <v>704</v>
      </c>
      <c r="B329" s="3" t="s">
        <v>509</v>
      </c>
      <c r="C329" s="3" t="s">
        <v>509</v>
      </c>
    </row>
    <row r="330" customFormat="false" ht="15.75" hidden="false" customHeight="false" outlineLevel="0" collapsed="false">
      <c r="A330" s="3" t="s">
        <v>705</v>
      </c>
      <c r="B330" s="3" t="s">
        <v>610</v>
      </c>
    </row>
    <row r="331" customFormat="false" ht="15.75" hidden="false" customHeight="false" outlineLevel="0" collapsed="false">
      <c r="A331" s="3" t="s">
        <v>327</v>
      </c>
      <c r="B331" s="3" t="s">
        <v>511</v>
      </c>
      <c r="C331" s="3"/>
    </row>
    <row r="332" customFormat="false" ht="15.75" hidden="false" customHeight="false" outlineLevel="0" collapsed="false">
      <c r="A332" s="3" t="s">
        <v>327</v>
      </c>
      <c r="B332" s="3" t="s">
        <v>157</v>
      </c>
      <c r="C332" s="3"/>
    </row>
    <row r="333" customFormat="false" ht="15.75" hidden="false" customHeight="false" outlineLevel="0" collapsed="false">
      <c r="A333" s="3" t="s">
        <v>327</v>
      </c>
      <c r="B333" s="3" t="s">
        <v>512</v>
      </c>
      <c r="C333" s="3"/>
    </row>
    <row r="334" customFormat="false" ht="15.75" hidden="false" customHeight="false" outlineLevel="0" collapsed="false">
      <c r="A334" s="3" t="s">
        <v>705</v>
      </c>
      <c r="B334" s="3"/>
      <c r="C334" s="3" t="s">
        <v>591</v>
      </c>
    </row>
    <row r="335" customFormat="false" ht="15.75" hidden="false" customHeight="false" outlineLevel="0" collapsed="false">
      <c r="A335" s="4"/>
      <c r="C335" s="3"/>
      <c r="D335" s="4" t="str">
        <f aca="false">IF(AND(EXACT(B334,C335),NOT(AND(ISBLANK(B334),ISBLANK(C335)))), "Common", "")</f>
        <v/>
      </c>
    </row>
    <row r="336" customFormat="false" ht="15.75" hidden="false" customHeight="false" outlineLevel="0" collapsed="false">
      <c r="A336" s="3" t="s">
        <v>706</v>
      </c>
      <c r="B336" s="3"/>
      <c r="C336" s="3"/>
      <c r="D336" s="4" t="str">
        <f aca="false">IF(AND(EXACT(B336,C336),NOT(AND(ISBLANK(B336),ISBLANK(C336)))), "Common", "")</f>
        <v/>
      </c>
    </row>
    <row r="337" customFormat="false" ht="15.75" hidden="false" customHeight="false" outlineLevel="0" collapsed="false">
      <c r="A337" s="4"/>
      <c r="B337" s="3"/>
      <c r="C337" s="3"/>
      <c r="D337" s="4" t="str">
        <f aca="false">IF(AND(EXACT(B337,C337),NOT(AND(ISBLANK(B337),ISBLANK(C337)))), "Common", "")</f>
        <v/>
      </c>
    </row>
    <row r="338" customFormat="false" ht="15.75" hidden="false" customHeight="false" outlineLevel="0" collapsed="false">
      <c r="A338" s="4"/>
    </row>
    <row r="339" customFormat="false" ht="15.75" hidden="false" customHeight="false" outlineLevel="0" collapsed="false">
      <c r="A339" s="4"/>
    </row>
    <row r="340" customFormat="false" ht="15.75" hidden="false" customHeight="false" outlineLevel="0" collapsed="false">
      <c r="A340" s="3" t="s">
        <v>690</v>
      </c>
      <c r="B340" s="3" t="s">
        <v>442</v>
      </c>
      <c r="C340" s="3" t="s">
        <v>442</v>
      </c>
      <c r="D340" s="4" t="str">
        <f aca="false">IF(AND(EXACT(B340,C340),NOT(AND(ISBLANK(B340),ISBLANK(C340)))), "Common", "")</f>
        <v>Common</v>
      </c>
    </row>
    <row r="341" customFormat="false" ht="15.75" hidden="false" customHeight="false" outlineLevel="0" collapsed="false">
      <c r="A341" s="3" t="s">
        <v>690</v>
      </c>
      <c r="B341" s="3" t="s">
        <v>443</v>
      </c>
      <c r="C341" s="3"/>
    </row>
    <row r="342" customFormat="false" ht="15.75" hidden="false" customHeight="false" outlineLevel="0" collapsed="false">
      <c r="A342" s="3" t="s">
        <v>707</v>
      </c>
      <c r="B342" s="3" t="s">
        <v>444</v>
      </c>
      <c r="C342" s="3" t="s">
        <v>444</v>
      </c>
      <c r="D342" s="4" t="str">
        <f aca="false">IF(AND(EXACT(B342,C342),NOT(AND(ISBLANK(B342),ISBLANK(C342)))), "Common", "")</f>
        <v>Common</v>
      </c>
    </row>
    <row r="343" customFormat="false" ht="15.75" hidden="false" customHeight="false" outlineLevel="0" collapsed="false">
      <c r="A343" s="3" t="s">
        <v>690</v>
      </c>
      <c r="B343" s="3" t="s">
        <v>645</v>
      </c>
      <c r="C343" s="3" t="s">
        <v>645</v>
      </c>
      <c r="D343" s="4" t="str">
        <f aca="false">IF(AND(EXACT(B343,C343),NOT(AND(ISBLANK(B343),ISBLANK(C343)))), "Common", "")</f>
        <v>Common</v>
      </c>
    </row>
    <row r="344" customFormat="false" ht="15.75" hidden="false" customHeight="false" outlineLevel="0" collapsed="false">
      <c r="A344" s="3" t="s">
        <v>690</v>
      </c>
      <c r="B344" s="3" t="s">
        <v>645</v>
      </c>
      <c r="C344" s="3" t="s">
        <v>652</v>
      </c>
      <c r="D344" s="4" t="str">
        <f aca="false">IF(AND(EXACT(B344,C344),NOT(AND(ISBLANK(B344),ISBLANK(C344)))), "Common", "")</f>
        <v/>
      </c>
    </row>
    <row r="345" customFormat="false" ht="15.75" hidden="false" customHeight="false" outlineLevel="0" collapsed="false">
      <c r="A345" s="4"/>
      <c r="B345" s="3"/>
      <c r="C345" s="3"/>
      <c r="D345" s="4" t="str">
        <f aca="false">IF(AND(EXACT(B345,C345),NOT(AND(ISBLANK(B345),ISBLANK(C345)))), "Common", "")</f>
        <v/>
      </c>
    </row>
    <row r="346" customFormat="false" ht="15.75" hidden="false" customHeight="false" outlineLevel="0" collapsed="false">
      <c r="A346" s="4"/>
      <c r="B346" s="3"/>
      <c r="C346" s="3"/>
      <c r="D346" s="4" t="str">
        <f aca="false">IF(AND(EXACT(B346,C346),NOT(AND(ISBLANK(B346),ISBLANK(C346)))), "Common", "")</f>
        <v/>
      </c>
    </row>
    <row r="347" customFormat="false" ht="15.75" hidden="false" customHeight="false" outlineLevel="0" collapsed="false">
      <c r="A347" s="4"/>
      <c r="B347" s="3"/>
      <c r="C347" s="3"/>
      <c r="D347" s="4" t="str">
        <f aca="false">IF(AND(EXACT(B347,C347),NOT(AND(ISBLANK(B347),ISBLANK(C347)))), "Common", "")</f>
        <v/>
      </c>
    </row>
    <row r="348" customFormat="false" ht="15.75" hidden="false" customHeight="false" outlineLevel="0" collapsed="false">
      <c r="A348" s="4"/>
      <c r="B348" s="3"/>
      <c r="C348" s="3"/>
      <c r="D348" s="4" t="str">
        <f aca="false">IF(AND(EXACT(B348,C348),NOT(AND(ISBLANK(B348),ISBLANK(C348)))), "Common", "")</f>
        <v/>
      </c>
    </row>
    <row r="349" customFormat="false" ht="15.75" hidden="false" customHeight="false" outlineLevel="0" collapsed="false">
      <c r="A349" s="3" t="s">
        <v>708</v>
      </c>
      <c r="B349" s="3"/>
      <c r="C349" s="3"/>
      <c r="D349" s="4" t="str">
        <f aca="false">IF(AND(EXACT(B349,C349),NOT(AND(ISBLANK(B349),ISBLANK(C349)))), "Common", "")</f>
        <v/>
      </c>
    </row>
    <row r="350" customFormat="false" ht="15.75" hidden="false" customHeight="false" outlineLevel="0" collapsed="false">
      <c r="A350" s="4"/>
      <c r="B350" s="3"/>
      <c r="C350" s="3"/>
      <c r="D350" s="4" t="str">
        <f aca="false">IF(AND(EXACT(B350,C350),NOT(AND(ISBLANK(B350),ISBLANK(C350)))), "Common", "")</f>
        <v/>
      </c>
    </row>
    <row r="351" customFormat="false" ht="15.75" hidden="false" customHeight="false" outlineLevel="0" collapsed="false">
      <c r="A351" s="4"/>
      <c r="B351" s="3"/>
      <c r="C351" s="3"/>
      <c r="D351" s="4" t="str">
        <f aca="false">IF(AND(EXACT(B351,C351),NOT(AND(ISBLANK(B351),ISBLANK(C351)))), "Common", "")</f>
        <v/>
      </c>
    </row>
    <row r="352" customFormat="false" ht="15.75" hidden="false" customHeight="false" outlineLevel="0" collapsed="false">
      <c r="A352" s="4"/>
    </row>
    <row r="353" customFormat="false" ht="15.75" hidden="false" customHeight="false" outlineLevel="0" collapsed="false">
      <c r="A353" s="3" t="s">
        <v>315</v>
      </c>
      <c r="B353" s="3" t="s">
        <v>615</v>
      </c>
      <c r="C353" s="3" t="s">
        <v>615</v>
      </c>
      <c r="D353" s="4" t="str">
        <f aca="false">IF(AND(EXACT(B353,C353),NOT(AND(ISBLANK(B353),ISBLANK(C353)))), "Common", "")</f>
        <v>Common</v>
      </c>
    </row>
    <row r="354" customFormat="false" ht="15.75" hidden="false" customHeight="false" outlineLevel="0" collapsed="false">
      <c r="A354" s="3" t="s">
        <v>316</v>
      </c>
      <c r="B354" s="3" t="s">
        <v>616</v>
      </c>
      <c r="C354" s="3" t="s">
        <v>616</v>
      </c>
      <c r="D354" s="4" t="str">
        <f aca="false">IF(AND(EXACT(B354,C354),NOT(AND(ISBLANK(B354),ISBLANK(C354)))), "Common", "")</f>
        <v>Common</v>
      </c>
    </row>
    <row r="355" customFormat="false" ht="15.75" hidden="false" customHeight="false" outlineLevel="0" collapsed="false">
      <c r="A355" s="3" t="s">
        <v>316</v>
      </c>
      <c r="B355" s="3"/>
      <c r="C355" s="3" t="s">
        <v>613</v>
      </c>
      <c r="D355" s="4" t="str">
        <f aca="false">IF(AND(EXACT(B355,C374),NOT(AND(ISBLANK(B355),ISBLANK(C374)))), "Common", "")</f>
        <v/>
      </c>
    </row>
    <row r="356" customFormat="false" ht="15.75" hidden="false" customHeight="false" outlineLevel="0" collapsed="false">
      <c r="A356" s="3" t="s">
        <v>315</v>
      </c>
      <c r="B356" s="3" t="s">
        <v>541</v>
      </c>
      <c r="C356" s="3" t="s">
        <v>615</v>
      </c>
      <c r="D356" s="4" t="str">
        <f aca="false">IF(AND(EXACT(B356,C356),NOT(AND(ISBLANK(B356),ISBLANK(C356)))), "Common", "")</f>
        <v/>
      </c>
    </row>
    <row r="357" customFormat="false" ht="15.75" hidden="false" customHeight="false" outlineLevel="0" collapsed="false">
      <c r="A357" s="3"/>
      <c r="B357" s="3"/>
      <c r="C357" s="3"/>
    </row>
    <row r="358" customFormat="false" ht="15.75" hidden="false" customHeight="false" outlineLevel="0" collapsed="false">
      <c r="A358" s="3" t="s">
        <v>318</v>
      </c>
      <c r="B358" s="3" t="s">
        <v>80</v>
      </c>
      <c r="C358" s="3" t="s">
        <v>80</v>
      </c>
      <c r="D358" s="4" t="str">
        <f aca="false">IF(AND(EXACT(B358,C358),NOT(AND(ISBLANK(B358),ISBLANK(C358)))), "Common", "")</f>
        <v>Common</v>
      </c>
    </row>
    <row r="359" customFormat="false" ht="15.75" hidden="false" customHeight="false" outlineLevel="0" collapsed="false">
      <c r="A359" s="3" t="s">
        <v>318</v>
      </c>
      <c r="B359" s="3" t="s">
        <v>81</v>
      </c>
      <c r="C359" s="3" t="s">
        <v>81</v>
      </c>
      <c r="D359" s="4" t="str">
        <f aca="false">IF(AND(EXACT(B359,C359),NOT(AND(ISBLANK(B359),ISBLANK(C359)))), "Common", "")</f>
        <v>Common</v>
      </c>
    </row>
    <row r="360" customFormat="false" ht="15.75" hidden="false" customHeight="false" outlineLevel="0" collapsed="false">
      <c r="A360" s="3" t="s">
        <v>318</v>
      </c>
      <c r="B360" s="3" t="s">
        <v>80</v>
      </c>
      <c r="C360" s="3" t="s">
        <v>78</v>
      </c>
      <c r="D360" s="4" t="str">
        <f aca="false">IF(AND(EXACT(B360,C360),NOT(AND(ISBLANK(B360),ISBLANK(C360)))), "Common", "")</f>
        <v/>
      </c>
    </row>
    <row r="361" customFormat="false" ht="15.75" hidden="false" customHeight="false" outlineLevel="0" collapsed="false">
      <c r="A361" s="3" t="s">
        <v>318</v>
      </c>
      <c r="B361" s="3" t="s">
        <v>64</v>
      </c>
      <c r="C361" s="3" t="s">
        <v>81</v>
      </c>
      <c r="D361" s="4" t="str">
        <f aca="false">IF(AND(EXACT(B361,C361),NOT(AND(ISBLANK(B361),ISBLANK(C361)))), "Common", "")</f>
        <v/>
      </c>
    </row>
    <row r="362" customFormat="false" ht="15.75" hidden="false" customHeight="false" outlineLevel="0" collapsed="false">
      <c r="A362" s="3" t="s">
        <v>690</v>
      </c>
      <c r="B362" s="3"/>
      <c r="C362" s="3" t="s">
        <v>466</v>
      </c>
    </row>
    <row r="363" customFormat="false" ht="15.75" hidden="false" customHeight="false" outlineLevel="0" collapsed="false">
      <c r="A363" s="3" t="s">
        <v>312</v>
      </c>
      <c r="B363" s="3" t="s">
        <v>425</v>
      </c>
      <c r="C363" s="3" t="s">
        <v>425</v>
      </c>
      <c r="D363" s="4" t="str">
        <f aca="false">IF(AND(EXACT(B363,C363),NOT(AND(ISBLANK(B363),ISBLANK(C363)))), "Common", "")</f>
        <v>Common</v>
      </c>
    </row>
    <row r="364" customFormat="false" ht="15.75" hidden="false" customHeight="false" outlineLevel="0" collapsed="false">
      <c r="A364" s="3" t="s">
        <v>312</v>
      </c>
      <c r="B364" s="3" t="s">
        <v>427</v>
      </c>
      <c r="C364" s="3" t="s">
        <v>427</v>
      </c>
      <c r="D364" s="4" t="str">
        <f aca="false">IF(AND(EXACT(B364,C364),NOT(AND(ISBLANK(B364),ISBLANK(C364)))), "Common", "")</f>
        <v>Common</v>
      </c>
    </row>
    <row r="365" customFormat="false" ht="15.75" hidden="false" customHeight="false" outlineLevel="0" collapsed="false">
      <c r="A365" s="3" t="s">
        <v>312</v>
      </c>
      <c r="B365" s="3" t="s">
        <v>271</v>
      </c>
      <c r="C365" s="3" t="s">
        <v>269</v>
      </c>
      <c r="D365" s="4" t="str">
        <f aca="false">IF(AND(EXACT(B365,C365),NOT(AND(ISBLANK(B365),ISBLANK(C365)))), "Common", "")</f>
        <v/>
      </c>
    </row>
    <row r="366" customFormat="false" ht="15.75" hidden="false" customHeight="false" outlineLevel="0" collapsed="false">
      <c r="A366" s="3" t="s">
        <v>312</v>
      </c>
      <c r="B366" s="3" t="s">
        <v>269</v>
      </c>
      <c r="C366" s="3" t="s">
        <v>269</v>
      </c>
    </row>
    <row r="367" customFormat="false" ht="15.75" hidden="false" customHeight="false" outlineLevel="0" collapsed="false">
      <c r="A367" s="3" t="s">
        <v>312</v>
      </c>
      <c r="B367" s="3" t="s">
        <v>540</v>
      </c>
      <c r="C367" s="3" t="s">
        <v>425</v>
      </c>
    </row>
    <row r="368" customFormat="false" ht="15.75" hidden="false" customHeight="false" outlineLevel="0" collapsed="false">
      <c r="A368" s="3" t="s">
        <v>311</v>
      </c>
      <c r="B368" s="3"/>
      <c r="C368" s="3" t="s">
        <v>423</v>
      </c>
    </row>
    <row r="369" customFormat="false" ht="15.75" hidden="false" customHeight="false" outlineLevel="0" collapsed="false">
      <c r="A369" s="3" t="s">
        <v>313</v>
      </c>
      <c r="B369" s="3" t="s">
        <v>386</v>
      </c>
      <c r="C369" s="3" t="s">
        <v>386</v>
      </c>
      <c r="D369" s="4" t="str">
        <f aca="false">IF(AND(EXACT(B369,C369),NOT(AND(ISBLANK(B369),ISBLANK(C369)))), "Common", "")</f>
        <v>Common</v>
      </c>
    </row>
    <row r="370" customFormat="false" ht="15.75" hidden="false" customHeight="false" outlineLevel="0" collapsed="false">
      <c r="A370" s="3" t="s">
        <v>313</v>
      </c>
      <c r="B370" s="3" t="s">
        <v>210</v>
      </c>
      <c r="C370" s="3" t="s">
        <v>210</v>
      </c>
      <c r="D370" s="4" t="str">
        <f aca="false">IF(AND(EXACT(B370,C370),NOT(AND(ISBLANK(B370),ISBLANK(C370)))), "Common", "")</f>
        <v>Common</v>
      </c>
    </row>
    <row r="371" customFormat="false" ht="15.75" hidden="false" customHeight="false" outlineLevel="0" collapsed="false">
      <c r="A371" s="3" t="s">
        <v>709</v>
      </c>
      <c r="B371" s="3" t="s">
        <v>347</v>
      </c>
      <c r="C371" s="3"/>
      <c r="D371" s="4" t="str">
        <f aca="false">IF(AND(EXACT(B371,C371),NOT(AND(ISBLANK(B371),ISBLANK(C371)))), "Common", "")</f>
        <v/>
      </c>
    </row>
    <row r="372" customFormat="false" ht="15.75" hidden="false" customHeight="false" outlineLevel="0" collapsed="false">
      <c r="A372" s="3" t="s">
        <v>313</v>
      </c>
      <c r="B372" s="3" t="s">
        <v>572</v>
      </c>
      <c r="C372" s="3"/>
      <c r="D372" s="4" t="str">
        <f aca="false">IF(AND(EXACT(B372,C372),NOT(AND(ISBLANK(B372),ISBLANK(C372)))), "Common", "")</f>
        <v/>
      </c>
    </row>
    <row r="373" customFormat="false" ht="15.75" hidden="false" customHeight="false" outlineLevel="0" collapsed="false">
      <c r="A373" s="3" t="s">
        <v>313</v>
      </c>
      <c r="B373" s="3" t="s">
        <v>390</v>
      </c>
      <c r="C373" s="3"/>
    </row>
    <row r="374" customFormat="false" ht="15.75" hidden="false" customHeight="false" outlineLevel="0" collapsed="false">
      <c r="A374" s="3" t="s">
        <v>313</v>
      </c>
      <c r="B374" s="3"/>
      <c r="C374" s="3" t="s">
        <v>650</v>
      </c>
    </row>
    <row r="375" customFormat="false" ht="15.75" hidden="false" customHeight="false" outlineLevel="0" collapsed="false">
      <c r="A375" s="3" t="s">
        <v>322</v>
      </c>
      <c r="B375" s="3" t="s">
        <v>619</v>
      </c>
      <c r="C375" s="3" t="s">
        <v>619</v>
      </c>
      <c r="D375" s="4" t="str">
        <f aca="false">IF(AND(EXACT(B375,C375),NOT(AND(ISBLANK(B375),ISBLANK(C375)))), "Common", "")</f>
        <v>Common</v>
      </c>
    </row>
    <row r="376" customFormat="false" ht="15.75" hidden="false" customHeight="false" outlineLevel="0" collapsed="false">
      <c r="A376" s="3" t="s">
        <v>322</v>
      </c>
      <c r="B376" s="3"/>
      <c r="C376" s="3" t="s">
        <v>254</v>
      </c>
      <c r="D376" s="4" t="str">
        <f aca="false">IF(AND(EXACT(B376,C376),NOT(AND(ISBLANK(B376),ISBLANK(C376)))), "Common", "")</f>
        <v/>
      </c>
    </row>
    <row r="377" customFormat="false" ht="15.75" hidden="false" customHeight="false" outlineLevel="0" collapsed="false">
      <c r="A377" s="3" t="s">
        <v>309</v>
      </c>
      <c r="B377" s="3" t="s">
        <v>270</v>
      </c>
      <c r="C377" s="3" t="s">
        <v>270</v>
      </c>
      <c r="D377" s="4" t="str">
        <f aca="false">IF(AND(EXACT(B377,C377),NOT(AND(ISBLANK(B377),ISBLANK(C377)))), "Common", "")</f>
        <v>Common</v>
      </c>
    </row>
    <row r="378" customFormat="false" ht="15.75" hidden="false" customHeight="false" outlineLevel="0" collapsed="false">
      <c r="A378" s="3" t="s">
        <v>309</v>
      </c>
      <c r="B378" s="3" t="s">
        <v>638</v>
      </c>
      <c r="C378" s="3" t="s">
        <v>638</v>
      </c>
      <c r="D378" s="4" t="str">
        <f aca="false">IF(AND(EXACT(B378,C378),NOT(AND(ISBLANK(B378),ISBLANK(C378)))), "Common", "")</f>
        <v>Common</v>
      </c>
    </row>
    <row r="379" customFormat="false" ht="15.75" hidden="false" customHeight="false" outlineLevel="0" collapsed="false">
      <c r="A379" s="3" t="s">
        <v>309</v>
      </c>
      <c r="B379" s="3" t="s">
        <v>640</v>
      </c>
      <c r="C379" s="3" t="s">
        <v>640</v>
      </c>
      <c r="D379" s="4" t="str">
        <f aca="false">IF(AND(EXACT(B379,C379),NOT(AND(ISBLANK(B379),ISBLANK(C379)))), "Common", "")</f>
        <v>Common</v>
      </c>
    </row>
    <row r="380" customFormat="false" ht="15.75" hidden="false" customHeight="false" outlineLevel="0" collapsed="false">
      <c r="A380" s="3" t="s">
        <v>312</v>
      </c>
      <c r="B380" s="3" t="s">
        <v>624</v>
      </c>
      <c r="C380" s="3"/>
      <c r="D380" s="4" t="str">
        <f aca="false">IF(AND(EXACT(B380,C380),NOT(AND(ISBLANK(B380),ISBLANK(C380)))), "Common", "")</f>
        <v/>
      </c>
    </row>
    <row r="381" customFormat="false" ht="15.75" hidden="false" customHeight="false" outlineLevel="0" collapsed="false">
      <c r="A381" s="3" t="s">
        <v>309</v>
      </c>
      <c r="B381" s="3" t="s">
        <v>642</v>
      </c>
      <c r="C381" s="3"/>
      <c r="D381" s="4" t="str">
        <f aca="false">IF(AND(EXACT(B381,C381),NOT(AND(ISBLANK(B381),ISBLANK(C381)))), "Common", "")</f>
        <v/>
      </c>
    </row>
    <row r="382" customFormat="false" ht="15.75" hidden="false" customHeight="false" outlineLevel="0" collapsed="false">
      <c r="A382" s="3" t="s">
        <v>307</v>
      </c>
      <c r="B382" s="3"/>
      <c r="C382" s="3" t="s">
        <v>349</v>
      </c>
      <c r="D382" s="4" t="str">
        <f aca="false">IF(AND(EXACT(B382,C382),NOT(AND(ISBLANK(B382),ISBLANK(C382)))), "Common", "")</f>
        <v/>
      </c>
    </row>
    <row r="383" customFormat="false" ht="15.75" hidden="false" customHeight="false" outlineLevel="0" collapsed="false">
      <c r="A383" s="3" t="s">
        <v>307</v>
      </c>
      <c r="B383" s="3"/>
      <c r="C383" s="3" t="s">
        <v>351</v>
      </c>
      <c r="D383" s="4" t="str">
        <f aca="false">IF(AND(EXACT(B383,C383),NOT(AND(ISBLANK(B383),ISBLANK(C383)))), "Common", "")</f>
        <v/>
      </c>
    </row>
    <row r="384" customFormat="false" ht="15.75" hidden="false" customHeight="false" outlineLevel="0" collapsed="false">
      <c r="A384" s="3" t="s">
        <v>699</v>
      </c>
      <c r="B384" s="3" t="s">
        <v>387</v>
      </c>
      <c r="C384" s="3"/>
      <c r="D384" s="4" t="str">
        <f aca="false">IF(AND(EXACT(B384,C384),NOT(AND(ISBLANK(B384),ISBLANK(C384)))), "Common", "")</f>
        <v/>
      </c>
    </row>
    <row r="385" customFormat="false" ht="15.75" hidden="false" customHeight="false" outlineLevel="0" collapsed="false">
      <c r="A385" s="3" t="s">
        <v>704</v>
      </c>
      <c r="B385" s="3" t="s">
        <v>604</v>
      </c>
      <c r="C385" s="3" t="s">
        <v>604</v>
      </c>
    </row>
    <row r="386" customFormat="false" ht="15.75" hidden="false" customHeight="false" outlineLevel="0" collapsed="false">
      <c r="A386" s="3" t="s">
        <v>704</v>
      </c>
      <c r="B386" s="3"/>
      <c r="C386" s="3" t="s">
        <v>600</v>
      </c>
    </row>
    <row r="387" customFormat="false" ht="15.75" hidden="false" customHeight="false" outlineLevel="0" collapsed="false">
      <c r="A387" s="3" t="s">
        <v>328</v>
      </c>
      <c r="B387" s="3" t="s">
        <v>589</v>
      </c>
      <c r="C387" s="3" t="s">
        <v>589</v>
      </c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  <c r="D394" s="4" t="str">
        <f aca="false">IF(AND(EXACT(B394,C394),NOT(AND(ISBLANK(B394),ISBLANK(C394)))), "Common", "")</f>
        <v/>
      </c>
    </row>
    <row r="395" customFormat="false" ht="15.75" hidden="false" customHeight="false" outlineLevel="0" collapsed="false">
      <c r="A395" s="4"/>
      <c r="B395" s="3"/>
      <c r="C395" s="3"/>
      <c r="D395" s="4" t="str">
        <f aca="false">IF(AND(EXACT(B395,C395),NOT(AND(ISBLANK(B395),ISBLANK(C395)))), "Common", "")</f>
        <v/>
      </c>
    </row>
    <row r="396" customFormat="false" ht="15.75" hidden="false" customHeight="false" outlineLevel="0" collapsed="false">
      <c r="A396" s="4"/>
      <c r="C396" s="3"/>
      <c r="D396" s="4" t="str">
        <f aca="false">IF(AND(EXACT(B396,C396),NOT(AND(ISBLANK(B396),ISBLANK(C396)))), "Common", "")</f>
        <v/>
      </c>
    </row>
    <row r="397" customFormat="false" ht="15.75" hidden="false" customHeight="false" outlineLevel="0" collapsed="false">
      <c r="A397" s="4"/>
      <c r="B397" s="3"/>
      <c r="C397" s="3"/>
      <c r="D397" s="4" t="str">
        <f aca="false">IF(AND(EXACT(B397,C397),NOT(AND(ISBLANK(B397),ISBLANK(C397)))), "Common", "")</f>
        <v/>
      </c>
    </row>
    <row r="398" customFormat="false" ht="15.75" hidden="false" customHeight="false" outlineLevel="0" collapsed="false">
      <c r="A398" s="4"/>
      <c r="B398" s="3"/>
      <c r="C398" s="3"/>
      <c r="D398" s="4" t="str">
        <f aca="false">IF(AND(EXACT(B398,C398),NOT(AND(ISBLANK(B398),ISBLANK(C398)))), "Common", "")</f>
        <v/>
      </c>
    </row>
    <row r="399" customFormat="false" ht="15.75" hidden="false" customHeight="false" outlineLevel="0" collapsed="false">
      <c r="A399" s="4"/>
      <c r="B399" s="3"/>
      <c r="C399" s="3"/>
      <c r="D399" s="4" t="str">
        <f aca="false">IF(AND(EXACT(B399,C399),NOT(AND(ISBLANK(B399),ISBLANK(C399)))), "Common", "")</f>
        <v/>
      </c>
    </row>
    <row r="400" customFormat="false" ht="15.75" hidden="false" customHeight="false" outlineLevel="0" collapsed="false">
      <c r="A400" s="4"/>
      <c r="B400" s="3"/>
      <c r="C400" s="3"/>
      <c r="D400" s="4" t="str">
        <f aca="false">IF(AND(EXACT(B400,C400),NOT(AND(ISBLANK(B400),ISBLANK(C400)))), "Common", "")</f>
        <v/>
      </c>
    </row>
    <row r="401" customFormat="false" ht="15.75" hidden="false" customHeight="false" outlineLevel="0" collapsed="false">
      <c r="A401" s="4"/>
      <c r="B401" s="3"/>
      <c r="C401" s="3"/>
      <c r="D401" s="4" t="str">
        <f aca="false">IF(AND(EXACT(B401,C401),NOT(AND(ISBLANK(B401),ISBLANK(C401)))), "Common", "")</f>
        <v/>
      </c>
    </row>
    <row r="402" customFormat="false" ht="15.75" hidden="false" customHeight="false" outlineLevel="0" collapsed="false">
      <c r="A402" s="4"/>
      <c r="B402" s="3"/>
      <c r="C402" s="3"/>
      <c r="D402" s="4" t="str">
        <f aca="false">IF(AND(EXACT(B402,C402),NOT(AND(ISBLANK(B402),ISBLANK(C402)))), "Common", "")</f>
        <v/>
      </c>
    </row>
    <row r="403" customFormat="false" ht="15.75" hidden="false" customHeight="false" outlineLevel="0" collapsed="false">
      <c r="A403" s="4"/>
      <c r="B403" s="3"/>
      <c r="C403" s="3"/>
      <c r="D403" s="4" t="str">
        <f aca="false">IF(AND(EXACT(B403,C403),NOT(AND(ISBLANK(B403),ISBLANK(C403)))), "Common", "")</f>
        <v/>
      </c>
    </row>
    <row r="404" customFormat="false" ht="15.75" hidden="false" customHeight="false" outlineLevel="0" collapsed="false">
      <c r="A404" s="4"/>
      <c r="B404" s="3"/>
      <c r="C404" s="3"/>
      <c r="D404" s="4" t="str">
        <f aca="false">IF(AND(EXACT(B404,C404),NOT(AND(ISBLANK(B404),ISBLANK(C404)))), "Common", "")</f>
        <v/>
      </c>
    </row>
    <row r="405" customFormat="false" ht="15.75" hidden="false" customHeight="false" outlineLevel="0" collapsed="false">
      <c r="A405" s="4"/>
      <c r="B405" s="3"/>
      <c r="C405" s="3"/>
      <c r="D405" s="4" t="str">
        <f aca="false">IF(AND(EXACT(B405,C405),NOT(AND(ISBLANK(B405),ISBLANK(C405)))), "Common", "")</f>
        <v/>
      </c>
    </row>
    <row r="406" customFormat="false" ht="15.75" hidden="false" customHeight="false" outlineLevel="0" collapsed="false">
      <c r="A406" s="4"/>
      <c r="D406" s="4" t="str">
        <f aca="false">IF(AND(EXACT(B329,C329),NOT(AND(ISBLANK(B329),ISBLANK(C329)))), "Common", "")</f>
        <v>Common</v>
      </c>
      <c r="E406" s="12"/>
    </row>
    <row r="407" customFormat="false" ht="15.75" hidden="false" customHeight="false" outlineLevel="0" collapsed="false">
      <c r="A407" s="3" t="s">
        <v>710</v>
      </c>
      <c r="B407" s="3" t="s">
        <v>578</v>
      </c>
      <c r="C407" s="3" t="s">
        <v>578</v>
      </c>
      <c r="D407" s="4" t="str">
        <f aca="false">IF(AND(EXACT(B407,C407),NOT(AND(ISBLANK(B407),ISBLANK(C407)))), "Common", "")</f>
        <v>Common</v>
      </c>
      <c r="E407" s="13" t="s">
        <v>711</v>
      </c>
    </row>
    <row r="408" customFormat="false" ht="15.75" hidden="false" customHeight="false" outlineLevel="0" collapsed="false">
      <c r="A408" s="3" t="s">
        <v>710</v>
      </c>
      <c r="B408" s="3" t="s">
        <v>579</v>
      </c>
      <c r="C408" s="3" t="s">
        <v>579</v>
      </c>
      <c r="D408" s="4" t="str">
        <f aca="false">IF(AND(EXACT(B408,C408),NOT(AND(ISBLANK(B408),ISBLANK(C408)))), "Common", "")</f>
        <v>Common</v>
      </c>
      <c r="E408" s="12"/>
    </row>
    <row r="409" customFormat="false" ht="15.75" hidden="false" customHeight="false" outlineLevel="0" collapsed="false">
      <c r="A409" s="3" t="s">
        <v>710</v>
      </c>
      <c r="B409" s="3" t="s">
        <v>584</v>
      </c>
      <c r="C409" s="3" t="s">
        <v>584</v>
      </c>
      <c r="D409" s="4" t="str">
        <f aca="false">IF(AND(EXACT(B409,C409),NOT(AND(ISBLANK(B409),ISBLANK(C409)))), "Common", "")</f>
        <v>Common</v>
      </c>
      <c r="E409" s="12"/>
    </row>
    <row r="410" customFormat="false" ht="15.75" hidden="false" customHeight="false" outlineLevel="0" collapsed="false">
      <c r="A410" s="3" t="s">
        <v>710</v>
      </c>
      <c r="B410" s="3" t="s">
        <v>602</v>
      </c>
      <c r="C410" s="3" t="s">
        <v>602</v>
      </c>
      <c r="D410" s="4" t="str">
        <f aca="false">IF(AND(EXACT(B387,C387),NOT(AND(ISBLANK(B387),ISBLANK(C387)))), "Common", "")</f>
        <v>Common</v>
      </c>
      <c r="E410" s="12"/>
    </row>
    <row r="411" customFormat="false" ht="15.75" hidden="false" customHeight="false" outlineLevel="0" collapsed="false">
      <c r="A411" s="3" t="s">
        <v>710</v>
      </c>
      <c r="B411" s="3"/>
      <c r="C411" s="3" t="s">
        <v>582</v>
      </c>
      <c r="E411" s="12"/>
    </row>
    <row r="412" customFormat="false" ht="15.75" hidden="false" customHeight="false" outlineLevel="0" collapsed="false">
      <c r="A412" s="3" t="s">
        <v>710</v>
      </c>
      <c r="C412" s="3" t="s">
        <v>586</v>
      </c>
      <c r="E412" s="12"/>
    </row>
    <row r="413" customFormat="false" ht="15.75" hidden="false" customHeight="false" outlineLevel="0" collapsed="false">
      <c r="A413" s="3" t="s">
        <v>710</v>
      </c>
      <c r="C413" s="3" t="s">
        <v>588</v>
      </c>
      <c r="E413" s="12"/>
    </row>
    <row r="414" customFormat="false" ht="15.75" hidden="false" customHeight="false" outlineLevel="0" collapsed="false">
      <c r="A414" s="3" t="s">
        <v>710</v>
      </c>
      <c r="B414" s="3" t="s">
        <v>475</v>
      </c>
      <c r="C414" s="3" t="s">
        <v>593</v>
      </c>
      <c r="D414" s="4" t="str">
        <f aca="false">IF(AND(EXACT(B410,C410),NOT(AND(ISBLANK(B410),ISBLANK(C410)))), "Common", "")</f>
        <v>Common</v>
      </c>
      <c r="E414" s="13" t="s">
        <v>712</v>
      </c>
    </row>
    <row r="415" customFormat="false" ht="15.75" hidden="false" customHeight="false" outlineLevel="0" collapsed="false">
      <c r="A415" s="3" t="s">
        <v>710</v>
      </c>
      <c r="C415" s="3" t="s">
        <v>513</v>
      </c>
      <c r="D415" s="4" t="str">
        <f aca="false">IF(AND(EXACT(B385,C385),NOT(AND(ISBLANK(B385),ISBLANK(C385)))), "Common", "")</f>
        <v>Common</v>
      </c>
      <c r="E415" s="12"/>
    </row>
    <row r="416" customFormat="false" ht="15.75" hidden="false" customHeight="false" outlineLevel="0" collapsed="false">
      <c r="A416" s="3" t="s">
        <v>710</v>
      </c>
      <c r="C416" s="3" t="s">
        <v>603</v>
      </c>
      <c r="D416" s="4" t="str">
        <f aca="false">IF(AND(EXACT(B411,C411),NOT(AND(ISBLANK(B411),ISBLANK(C411)))), "Common", "")</f>
        <v/>
      </c>
      <c r="E416" s="12"/>
    </row>
    <row r="417" customFormat="false" ht="15.75" hidden="false" customHeight="false" outlineLevel="0" collapsed="false">
      <c r="A417" s="4"/>
      <c r="D417" s="4" t="str">
        <f aca="false">IF(AND(EXACT(B412,C412),NOT(AND(ISBLANK(B412),ISBLANK(C412)))), "Common", "")</f>
        <v/>
      </c>
      <c r="E417" s="12"/>
    </row>
    <row r="418" customFormat="false" ht="15.75" hidden="false" customHeight="false" outlineLevel="0" collapsed="false">
      <c r="A418" s="4"/>
      <c r="D418" s="4" t="str">
        <f aca="false">IF(AND(EXACT(B413,C413),NOT(AND(ISBLANK(B413),ISBLANK(C413)))), "Common", "")</f>
        <v/>
      </c>
      <c r="E418" s="12"/>
    </row>
    <row r="419" customFormat="false" ht="15.75" hidden="false" customHeight="false" outlineLevel="0" collapsed="false">
      <c r="A419" s="4"/>
      <c r="D419" s="7" t="e">
        <f aca="false">IF(AND(EXACT(#REF!,C355),NOT(AND(ISBLANK(#REF!),ISBLANK(C355)))), "Common", "")</f>
        <v>#REF!</v>
      </c>
      <c r="E419" s="12"/>
    </row>
    <row r="420" customFormat="false" ht="15.75" hidden="false" customHeight="false" outlineLevel="0" collapsed="false">
      <c r="A420" s="4"/>
      <c r="D420" s="4" t="str">
        <f aca="false">IF(AND(EXACT(B330,C330),NOT(AND(ISBLANK(B330),ISBLANK(C330)))), "Common", "")</f>
        <v/>
      </c>
      <c r="E420" s="12"/>
    </row>
    <row r="421" customFormat="false" ht="15.75" hidden="false" customHeight="false" outlineLevel="0" collapsed="false">
      <c r="A421" s="4"/>
      <c r="D421" s="7" t="e">
        <f aca="false">IF(AND(EXACT(B331,#REF!),NOT(AND(ISBLANK(B331),ISBLANK(#REF!)))), "Common", "")</f>
        <v>#REF!</v>
      </c>
      <c r="E421" s="12"/>
    </row>
    <row r="422" customFormat="false" ht="15.75" hidden="false" customHeight="false" outlineLevel="0" collapsed="false">
      <c r="A422" s="4"/>
      <c r="D422" s="7" t="e">
        <f aca="false">IF(AND(EXACT(B332,#REF!),NOT(AND(ISBLANK(B332),ISBLANK(#REF!)))), "Common", "")</f>
        <v>#REF!</v>
      </c>
      <c r="E422" s="12"/>
    </row>
    <row r="423" customFormat="false" ht="15.75" hidden="false" customHeight="false" outlineLevel="0" collapsed="false">
      <c r="A423" s="4"/>
      <c r="D423" s="4" t="str">
        <f aca="false">IF(AND(EXACT(B333,C423),NOT(AND(ISBLANK(B333),ISBLANK(C423)))), "Common", "")</f>
        <v/>
      </c>
      <c r="E423" s="12"/>
    </row>
    <row r="424" customFormat="false" ht="15.75" hidden="false" customHeight="false" outlineLevel="0" collapsed="false">
      <c r="A424" s="4"/>
      <c r="D424" s="4" t="str">
        <f aca="false">IF(AND(EXACT(B414,C414),NOT(AND(ISBLANK(B414),ISBLANK(C414)))), "Common", "")</f>
        <v/>
      </c>
      <c r="E424" s="12"/>
    </row>
    <row r="425" customFormat="false" ht="15.75" hidden="false" customHeight="false" outlineLevel="0" collapsed="false">
      <c r="A425" s="4"/>
      <c r="D425" s="7" t="e">
        <f aca="false">IF(AND(EXACT(#REF!,#REF!),NOT(AND(ISBLANK(#REF!),ISBLANK(#REF!)))), "Common", "")</f>
        <v>#REF!</v>
      </c>
      <c r="E425" s="12"/>
    </row>
    <row r="426" customFormat="false" ht="15.75" hidden="false" customHeight="false" outlineLevel="0" collapsed="false">
      <c r="A426" s="4"/>
      <c r="D426" s="4" t="str">
        <f aca="false">IF(AND(EXACT(B415,C415),NOT(AND(ISBLANK(B415),ISBLANK(C415)))), "Common", "")</f>
        <v/>
      </c>
      <c r="E426" s="12"/>
    </row>
    <row r="427" customFormat="false" ht="15.75" hidden="false" customHeight="false" outlineLevel="0" collapsed="false">
      <c r="A427" s="4"/>
      <c r="D427" s="7" t="e">
        <f aca="false">IF(AND(EXACT(#REF!,C386),NOT(AND(ISBLANK(#REF!),ISBLANK(C386)))), "Common", "")</f>
        <v>#REF!</v>
      </c>
      <c r="E427" s="12"/>
    </row>
    <row r="428" customFormat="false" ht="15.75" hidden="false" customHeight="false" outlineLevel="0" collapsed="false">
      <c r="A428" s="4"/>
      <c r="D428" s="4" t="str">
        <f aca="false">IF(AND(EXACT(B196,C196),NOT(AND(ISBLANK(B196),ISBLANK(C196)))), "Common", "")</f>
        <v/>
      </c>
      <c r="E428" s="12"/>
    </row>
    <row r="429" customFormat="false" ht="15.75" hidden="false" customHeight="false" outlineLevel="0" collapsed="false">
      <c r="A429" s="4"/>
      <c r="D429" s="4" t="str">
        <f aca="false">IF(AND(EXACT(B197,C197),NOT(AND(ISBLANK(B197),ISBLANK(C197)))), "Common", "")</f>
        <v/>
      </c>
    </row>
    <row r="430" customFormat="false" ht="15.75" hidden="false" customHeight="false" outlineLevel="0" collapsed="false">
      <c r="A430" s="4"/>
      <c r="D430" s="4" t="str">
        <f aca="false">IF(AND(EXACT(B198,C198),NOT(AND(ISBLANK(B198),ISBLANK(C198)))), "Common", "")</f>
        <v/>
      </c>
    </row>
    <row r="431" customFormat="false" ht="15.75" hidden="false" customHeight="false" outlineLevel="0" collapsed="false">
      <c r="A431" s="4"/>
      <c r="D431" s="4" t="str">
        <f aca="false">IF(AND(EXACT(B431,C431),NOT(AND(ISBLANK(B431),ISBLANK(C431)))), "Common", "")</f>
        <v/>
      </c>
    </row>
    <row r="432" customFormat="false" ht="15.75" hidden="false" customHeight="false" outlineLevel="0" collapsed="false">
      <c r="A432" s="4"/>
      <c r="D432" s="4" t="str">
        <f aca="false">IF(AND(EXACT(B432,C432),NOT(AND(ISBLANK(B432),ISBLANK(C432)))), "Common", "")</f>
        <v/>
      </c>
    </row>
    <row r="433" customFormat="false" ht="15.75" hidden="false" customHeight="false" outlineLevel="0" collapsed="false">
      <c r="A433" s="4"/>
      <c r="D433" s="4" t="str">
        <f aca="false">IF(AND(EXACT(B433,C433),NOT(AND(ISBLANK(B433),ISBLANK(C433)))), "Common", "")</f>
        <v/>
      </c>
    </row>
    <row r="434" customFormat="false" ht="15.75" hidden="false" customHeight="false" outlineLevel="0" collapsed="false">
      <c r="A434" s="3" t="s">
        <v>713</v>
      </c>
      <c r="B434" s="3" t="s">
        <v>648</v>
      </c>
      <c r="D434" s="4" t="str">
        <f aca="false">IF(AND(EXACT(B434,C434),NOT(AND(ISBLANK(B434),ISBLANK(C434)))), "Common", "")</f>
        <v/>
      </c>
    </row>
    <row r="435" customFormat="false" ht="15.75" hidden="false" customHeight="false" outlineLevel="0" collapsed="false">
      <c r="A435" s="4"/>
      <c r="D435" s="4" t="str">
        <f aca="false">IF(AND(EXACT(B435,C435),NOT(AND(ISBLANK(B435),ISBLANK(C435)))), "Common", "")</f>
        <v/>
      </c>
    </row>
    <row r="436" customFormat="false" ht="15.75" hidden="false" customHeight="false" outlineLevel="0" collapsed="false">
      <c r="A436" s="4"/>
      <c r="D436" s="4" t="str">
        <f aca="false">IF(AND(EXACT(B436,C436),NOT(AND(ISBLANK(B436),ISBLANK(C436)))), "Common", "")</f>
        <v/>
      </c>
    </row>
    <row r="437" customFormat="false" ht="15.75" hidden="false" customHeight="false" outlineLevel="0" collapsed="false">
      <c r="A437" s="4"/>
      <c r="C437" s="3"/>
      <c r="D437" s="4" t="str">
        <f aca="false">IF(AND(EXACT(B437,C437),NOT(AND(ISBLANK(B437),ISBLANK(C437)))), "Common", "")</f>
        <v/>
      </c>
    </row>
    <row r="438" customFormat="false" ht="15.75" hidden="false" customHeight="false" outlineLevel="0" collapsed="false">
      <c r="A438" s="4"/>
      <c r="C438" s="3"/>
      <c r="D438" s="4" t="str">
        <f aca="false">IF(AND(EXACT(B438,C438),NOT(AND(ISBLANK(B438),ISBLANK(C438)))), "Common", "")</f>
        <v/>
      </c>
    </row>
    <row r="439" customFormat="false" ht="15.75" hidden="false" customHeight="false" outlineLevel="0" collapsed="false">
      <c r="A439" s="4"/>
      <c r="D439" s="4" t="str">
        <f aca="false">IF(AND(EXACT(B439,C439),NOT(AND(ISBLANK(B439),ISBLANK(C439)))), "Common", "")</f>
        <v/>
      </c>
    </row>
    <row r="440" customFormat="false" ht="15.75" hidden="false" customHeight="false" outlineLevel="0" collapsed="false">
      <c r="A440" s="4"/>
      <c r="D440" s="4" t="str">
        <f aca="false">IF(AND(EXACT(B557,C557),NOT(AND(ISBLANK(B557),ISBLANK(C557)))), "Common", "")</f>
        <v/>
      </c>
    </row>
    <row r="441" customFormat="false" ht="15.75" hidden="false" customHeight="false" outlineLevel="0" collapsed="false">
      <c r="A441" s="4"/>
      <c r="C441" s="3"/>
      <c r="D441" s="4" t="str">
        <f aca="false">IF(AND(EXACT(B558,C558),NOT(AND(ISBLANK(B558),ISBLANK(C558)))), "Common", "")</f>
        <v/>
      </c>
    </row>
    <row r="442" customFormat="false" ht="15.75" hidden="false" customHeight="false" outlineLevel="0" collapsed="false">
      <c r="A442" s="4"/>
      <c r="C442" s="3"/>
      <c r="D442" s="4" t="str">
        <f aca="false">IF(AND(EXACT(B559,C559),NOT(AND(ISBLANK(B559),ISBLANK(C559)))), "Common", "")</f>
        <v/>
      </c>
    </row>
    <row r="443" customFormat="false" ht="15.75" hidden="false" customHeight="false" outlineLevel="0" collapsed="false">
      <c r="A443" s="4"/>
      <c r="D443" s="4" t="str">
        <f aca="false">IF(AND(EXACT(B560,C560),NOT(AND(ISBLANK(B560),ISBLANK(C560)))), "Common", "")</f>
        <v/>
      </c>
    </row>
    <row r="444" customFormat="false" ht="15.75" hidden="false" customHeight="false" outlineLevel="0" collapsed="false">
      <c r="A444" s="4"/>
      <c r="B444" s="3"/>
      <c r="D444" s="4" t="str">
        <f aca="false">IF(AND(EXACT(B561,C561),NOT(AND(ISBLANK(B561),ISBLANK(C561)))), "Common", "")</f>
        <v/>
      </c>
    </row>
    <row r="445" customFormat="false" ht="15.75" hidden="false" customHeight="false" outlineLevel="0" collapsed="false">
      <c r="A445" s="4"/>
      <c r="D445" s="4" t="str">
        <f aca="false">IF(AND(EXACT(B562,C562),NOT(AND(ISBLANK(B562),ISBLANK(C562)))), "Common", "")</f>
        <v/>
      </c>
    </row>
    <row r="446" customFormat="false" ht="15.75" hidden="false" customHeight="false" outlineLevel="0" collapsed="false">
      <c r="A446" s="4"/>
      <c r="D446" s="4" t="str">
        <f aca="false">IF(AND(EXACT(B563,C563),NOT(AND(ISBLANK(B563),ISBLANK(C563)))), "Common", "")</f>
        <v/>
      </c>
    </row>
    <row r="447" customFormat="false" ht="15.75" hidden="false" customHeight="false" outlineLevel="0" collapsed="false">
      <c r="A447" s="4"/>
      <c r="D447" s="4" t="str">
        <f aca="false">IF(AND(EXACT(B564,C564),NOT(AND(ISBLANK(B564),ISBLANK(C564)))), "Common", "")</f>
        <v/>
      </c>
    </row>
    <row r="448" customFormat="false" ht="15.75" hidden="false" customHeight="false" outlineLevel="0" collapsed="false">
      <c r="A448" s="4"/>
      <c r="D448" s="4" t="str">
        <f aca="false">IF(AND(EXACT(B565,C565),NOT(AND(ISBLANK(B565),ISBLANK(C565)))), "Common", "")</f>
        <v/>
      </c>
    </row>
    <row r="449" customFormat="false" ht="15.75" hidden="false" customHeight="false" outlineLevel="0" collapsed="false">
      <c r="A449" s="4"/>
      <c r="D449" s="4" t="str">
        <f aca="false">IF(AND(EXACT(B566,C566),NOT(AND(ISBLANK(B566),ISBLANK(C566)))), "Common", "")</f>
        <v/>
      </c>
    </row>
    <row r="450" customFormat="false" ht="15.75" hidden="false" customHeight="false" outlineLevel="0" collapsed="false">
      <c r="A450" s="4"/>
      <c r="D450" s="4" t="str">
        <f aca="false">IF(AND(EXACT(B567,C567),NOT(AND(ISBLANK(B567),ISBLANK(C567)))), "Common", "")</f>
        <v/>
      </c>
    </row>
    <row r="451" customFormat="false" ht="15.75" hidden="false" customHeight="false" outlineLevel="0" collapsed="false">
      <c r="A451" s="4"/>
      <c r="D451" s="4" t="str">
        <f aca="false">IF(AND(EXACT(B568,C568),NOT(AND(ISBLANK(B568),ISBLANK(C568)))), "Common", "")</f>
        <v/>
      </c>
    </row>
    <row r="452" customFormat="false" ht="15.75" hidden="false" customHeight="false" outlineLevel="0" collapsed="false">
      <c r="A452" s="4"/>
      <c r="D452" s="4" t="str">
        <f aca="false">IF(AND(EXACT(B452,C452),NOT(AND(ISBLANK(B452),ISBLANK(C452)))), "Common", "")</f>
        <v/>
      </c>
    </row>
    <row r="453" customFormat="false" ht="15.75" hidden="false" customHeight="false" outlineLevel="0" collapsed="false">
      <c r="A453" s="4"/>
      <c r="D453" s="4" t="str">
        <f aca="false">IF(AND(EXACT(B453,C453),NOT(AND(ISBLANK(B453),ISBLANK(C453)))), "Common", "")</f>
        <v/>
      </c>
    </row>
    <row r="454" customFormat="false" ht="15.75" hidden="false" customHeight="false" outlineLevel="0" collapsed="false">
      <c r="A454" s="4"/>
      <c r="D454" s="4" t="str">
        <f aca="false">IF(AND(EXACT(B454,C454),NOT(AND(ISBLANK(B454),ISBLANK(C454)))), "Common", "")</f>
        <v/>
      </c>
    </row>
    <row r="455" customFormat="false" ht="15.75" hidden="false" customHeight="false" outlineLevel="0" collapsed="false">
      <c r="A455" s="4"/>
      <c r="D455" s="4" t="str">
        <f aca="false">IF(AND(EXACT(B455,C455),NOT(AND(ISBLANK(B455),ISBLANK(C455)))), "Common", "")</f>
        <v/>
      </c>
    </row>
    <row r="456" customFormat="false" ht="15.75" hidden="false" customHeight="false" outlineLevel="0" collapsed="false">
      <c r="A456" s="4"/>
      <c r="D456" s="4" t="str">
        <f aca="false">IF(AND(EXACT(B456,C456),NOT(AND(ISBLANK(B456),ISBLANK(C456)))), "Common", "")</f>
        <v/>
      </c>
    </row>
    <row r="457" customFormat="false" ht="15.75" hidden="false" customHeight="false" outlineLevel="0" collapsed="false">
      <c r="A457" s="4"/>
      <c r="D457" s="4" t="str">
        <f aca="false">IF(AND(EXACT(B457,C457),NOT(AND(ISBLANK(B457),ISBLANK(C457)))), "Common", "")</f>
        <v/>
      </c>
    </row>
    <row r="458" customFormat="false" ht="15.75" hidden="false" customHeight="false" outlineLevel="0" collapsed="false">
      <c r="A458" s="4"/>
      <c r="D458" s="4" t="str">
        <f aca="false">IF(AND(EXACT(B458,C458),NOT(AND(ISBLANK(B458),ISBLANK(C458)))), "Common", "")</f>
        <v/>
      </c>
    </row>
    <row r="459" customFormat="false" ht="15.75" hidden="false" customHeight="false" outlineLevel="0" collapsed="false">
      <c r="A459" s="4"/>
      <c r="D459" s="4" t="str">
        <f aca="false">IF(AND(EXACT(B459,C459),NOT(AND(ISBLANK(B459),ISBLANK(C459)))), "Common", "")</f>
        <v/>
      </c>
    </row>
    <row r="460" customFormat="false" ht="15.75" hidden="false" customHeight="false" outlineLevel="0" collapsed="false">
      <c r="A460" s="4"/>
      <c r="D460" s="4" t="str">
        <f aca="false">IF(AND(EXACT(B460,C460),NOT(AND(ISBLANK(B460),ISBLANK(C460)))), "Common", "")</f>
        <v/>
      </c>
    </row>
    <row r="461" customFormat="false" ht="15.75" hidden="false" customHeight="false" outlineLevel="0" collapsed="false">
      <c r="A461" s="4"/>
      <c r="D461" s="4" t="str">
        <f aca="false">IF(AND(EXACT(B461,C461),NOT(AND(ISBLANK(B461),ISBLANK(C461)))), "Common", "")</f>
        <v/>
      </c>
    </row>
    <row r="462" customFormat="false" ht="15.75" hidden="false" customHeight="false" outlineLevel="0" collapsed="false">
      <c r="A462" s="4"/>
      <c r="D462" s="4" t="str">
        <f aca="false">IF(AND(EXACT(B462,C462),NOT(AND(ISBLANK(B462),ISBLANK(C462)))), "Common", "")</f>
        <v/>
      </c>
    </row>
    <row r="463" customFormat="false" ht="15.75" hidden="false" customHeight="false" outlineLevel="0" collapsed="false">
      <c r="A463" s="4"/>
      <c r="B463" s="3"/>
      <c r="C463" s="3"/>
      <c r="D463" s="4" t="str">
        <f aca="false">IF(AND(EXACT(B463,C463),NOT(AND(ISBLANK(B463),ISBLANK(C463)))), "Common", "")</f>
        <v/>
      </c>
    </row>
    <row r="464" customFormat="false" ht="15.75" hidden="false" customHeight="false" outlineLevel="0" collapsed="false">
      <c r="A464" s="4"/>
      <c r="B464" s="3"/>
      <c r="C464" s="3"/>
      <c r="D464" s="4" t="str">
        <f aca="false">IF(AND(EXACT(B464,C464),NOT(AND(ISBLANK(B464),ISBLANK(C464)))), "Common", "")</f>
        <v/>
      </c>
    </row>
    <row r="465" customFormat="false" ht="15.75" hidden="false" customHeight="false" outlineLevel="0" collapsed="false">
      <c r="A465" s="4"/>
      <c r="B465" s="3"/>
      <c r="C465" s="3"/>
      <c r="D465" s="4" t="str">
        <f aca="false">IF(AND(EXACT(B465,C465),NOT(AND(ISBLANK(B465),ISBLANK(C465)))), "Common", "")</f>
        <v/>
      </c>
    </row>
    <row r="466" customFormat="false" ht="15.75" hidden="false" customHeight="false" outlineLevel="0" collapsed="false">
      <c r="A466" s="4"/>
      <c r="D466" s="4" t="str">
        <f aca="false">IF(AND(EXACT(B466,C466),NOT(AND(ISBLANK(B466),ISBLANK(C466)))), "Common", "")</f>
        <v/>
      </c>
    </row>
    <row r="467" customFormat="false" ht="15.75" hidden="false" customHeight="false" outlineLevel="0" collapsed="false">
      <c r="A467" s="4"/>
      <c r="D467" s="4" t="str">
        <f aca="false">IF(AND(EXACT(B467,C467),NOT(AND(ISBLANK(B467),ISBLANK(C467)))), "Common", "")</f>
        <v/>
      </c>
    </row>
    <row r="468" customFormat="false" ht="15.75" hidden="false" customHeight="false" outlineLevel="0" collapsed="false">
      <c r="A468" s="4"/>
      <c r="D468" s="4" t="str">
        <f aca="false">IF(AND(EXACT(B468,C468),NOT(AND(ISBLANK(B468),ISBLANK(C468)))), "Common", "")</f>
        <v/>
      </c>
    </row>
    <row r="469" customFormat="false" ht="15.75" hidden="false" customHeight="false" outlineLevel="0" collapsed="false">
      <c r="A469" s="4"/>
      <c r="D469" s="4" t="str">
        <f aca="false">IF(AND(EXACT(B469,C469),NOT(AND(ISBLANK(B469),ISBLANK(C469)))), "Common", "")</f>
        <v/>
      </c>
    </row>
    <row r="470" customFormat="false" ht="15.75" hidden="false" customHeight="false" outlineLevel="0" collapsed="false">
      <c r="A470" s="4"/>
      <c r="D470" s="4" t="str">
        <f aca="false">IF(AND(EXACT(B470,C470),NOT(AND(ISBLANK(B470),ISBLANK(C470)))), "Common", "")</f>
        <v/>
      </c>
    </row>
    <row r="471" customFormat="false" ht="15.75" hidden="false" customHeight="false" outlineLevel="0" collapsed="false">
      <c r="A471" s="4"/>
      <c r="D471" s="4" t="str">
        <f aca="false">IF(AND(EXACT(B471,C471),NOT(AND(ISBLANK(B471),ISBLANK(C471)))), "Common", "")</f>
        <v/>
      </c>
    </row>
    <row r="472" customFormat="false" ht="15.75" hidden="false" customHeight="false" outlineLevel="0" collapsed="false">
      <c r="A472" s="4"/>
      <c r="D472" s="4" t="str">
        <f aca="false">IF(AND(EXACT(B472,C472),NOT(AND(ISBLANK(B472),ISBLANK(C472)))), "Common", "")</f>
        <v/>
      </c>
    </row>
    <row r="473" customFormat="false" ht="15.75" hidden="false" customHeight="false" outlineLevel="0" collapsed="false">
      <c r="A473" s="4"/>
      <c r="D473" s="4" t="str">
        <f aca="false">IF(AND(EXACT(B473,C473),NOT(AND(ISBLANK(B473),ISBLANK(C473)))), "Common", "")</f>
        <v/>
      </c>
    </row>
    <row r="474" customFormat="false" ht="15.75" hidden="false" customHeight="false" outlineLevel="0" collapsed="false">
      <c r="A474" s="4"/>
      <c r="D474" s="4" t="str">
        <f aca="false">IF(AND(EXACT(B474,C474),NOT(AND(ISBLANK(B474),ISBLANK(C474)))), "Common", "")</f>
        <v/>
      </c>
    </row>
    <row r="475" customFormat="false" ht="15.75" hidden="false" customHeight="false" outlineLevel="0" collapsed="false">
      <c r="A475" s="4"/>
      <c r="D475" s="4" t="str">
        <f aca="false">IF(AND(EXACT(B475,C475),NOT(AND(ISBLANK(B475),ISBLANK(C475)))), "Common", "")</f>
        <v/>
      </c>
    </row>
    <row r="476" customFormat="false" ht="15.75" hidden="false" customHeight="false" outlineLevel="0" collapsed="false">
      <c r="A476" s="4"/>
      <c r="D476" s="4" t="str">
        <f aca="false">IF(AND(EXACT(B476,C476),NOT(AND(ISBLANK(B476),ISBLANK(C476)))), "Common", "")</f>
        <v/>
      </c>
    </row>
    <row r="477" customFormat="false" ht="15.75" hidden="false" customHeight="false" outlineLevel="0" collapsed="false">
      <c r="A477" s="4"/>
      <c r="D477" s="4" t="str">
        <f aca="false">IF(AND(EXACT(B477,C477),NOT(AND(ISBLANK(B477),ISBLANK(C477)))), "Common", "")</f>
        <v/>
      </c>
    </row>
    <row r="478" customFormat="false" ht="15.75" hidden="false" customHeight="false" outlineLevel="0" collapsed="false">
      <c r="A478" s="4"/>
      <c r="D478" s="4" t="str">
        <f aca="false">IF(AND(EXACT(B478,C478),NOT(AND(ISBLANK(B478),ISBLANK(C478)))), "Common", "")</f>
        <v/>
      </c>
    </row>
    <row r="479" customFormat="false" ht="15.75" hidden="false" customHeight="false" outlineLevel="0" collapsed="false">
      <c r="A479" s="4"/>
      <c r="D479" s="4" t="str">
        <f aca="false">IF(AND(EXACT(B479,C479),NOT(AND(ISBLANK(B479),ISBLANK(C479)))), "Common", "")</f>
        <v/>
      </c>
    </row>
    <row r="480" customFormat="false" ht="15.75" hidden="false" customHeight="false" outlineLevel="0" collapsed="false">
      <c r="A480" s="4"/>
      <c r="D480" s="4" t="str">
        <f aca="false">IF(AND(EXACT(B480,C480),NOT(AND(ISBLANK(B480),ISBLANK(C480)))), "Common", "")</f>
        <v/>
      </c>
    </row>
    <row r="481" customFormat="false" ht="15.75" hidden="false" customHeight="false" outlineLevel="0" collapsed="false">
      <c r="A481" s="4"/>
      <c r="D481" s="4" t="str">
        <f aca="false">IF(AND(EXACT(B481,C481),NOT(AND(ISBLANK(B481),ISBLANK(C481)))), "Common", "")</f>
        <v/>
      </c>
    </row>
    <row r="482" customFormat="false" ht="15.75" hidden="false" customHeight="false" outlineLevel="0" collapsed="false">
      <c r="A482" s="4"/>
      <c r="D482" s="4" t="str">
        <f aca="false">IF(AND(EXACT(B482,C482),NOT(AND(ISBLANK(B482),ISBLANK(C482)))), "Common", "")</f>
        <v/>
      </c>
    </row>
    <row r="483" customFormat="false" ht="15.75" hidden="false" customHeight="false" outlineLevel="0" collapsed="false">
      <c r="A483" s="4"/>
      <c r="B483" s="3"/>
      <c r="D483" s="4" t="str">
        <f aca="false">IF(AND(EXACT(B483,C483),NOT(AND(ISBLANK(B483),ISBLANK(C483)))), "Common", "")</f>
        <v/>
      </c>
    </row>
    <row r="484" customFormat="false" ht="15.75" hidden="false" customHeight="false" outlineLevel="0" collapsed="false">
      <c r="A484" s="4"/>
      <c r="D484" s="4" t="str">
        <f aca="false">IF(AND(EXACT(B484,C484),NOT(AND(ISBLANK(B484),ISBLANK(C484)))), "Common", "")</f>
        <v/>
      </c>
    </row>
    <row r="485" customFormat="false" ht="15.75" hidden="false" customHeight="false" outlineLevel="0" collapsed="false">
      <c r="A485" s="4"/>
      <c r="D485" s="4" t="str">
        <f aca="false">IF(AND(EXACT(B485,C485),NOT(AND(ISBLANK(B485),ISBLANK(C485)))), "Common", "")</f>
        <v/>
      </c>
    </row>
    <row r="486" customFormat="false" ht="15.75" hidden="false" customHeight="false" outlineLevel="0" collapsed="false">
      <c r="A486" s="4"/>
      <c r="B486" s="3"/>
      <c r="C486" s="3"/>
      <c r="D486" s="4" t="str">
        <f aca="false">IF(AND(EXACT(B486,C486),NOT(AND(ISBLANK(B486),ISBLANK(C486)))), "Common", "")</f>
        <v/>
      </c>
    </row>
    <row r="487" customFormat="false" ht="15.75" hidden="false" customHeight="false" outlineLevel="0" collapsed="false">
      <c r="A487" s="4"/>
      <c r="B487" s="3"/>
      <c r="C487" s="3"/>
      <c r="D487" s="4" t="str">
        <f aca="false">IF(AND(EXACT(B487,C487),NOT(AND(ISBLANK(B487),ISBLANK(C487)))), "Common", "")</f>
        <v/>
      </c>
    </row>
    <row r="488" customFormat="false" ht="15.75" hidden="false" customHeight="false" outlineLevel="0" collapsed="false">
      <c r="A488" s="4"/>
      <c r="B488" s="3"/>
      <c r="C488" s="3"/>
      <c r="D488" s="4" t="str">
        <f aca="false">IF(AND(EXACT(B488,C488),NOT(AND(ISBLANK(B488),ISBLANK(C488)))), "Common", "")</f>
        <v/>
      </c>
    </row>
    <row r="489" customFormat="false" ht="15.75" hidden="false" customHeight="false" outlineLevel="0" collapsed="false">
      <c r="A489" s="4"/>
      <c r="D489" s="4" t="str">
        <f aca="false">IF(AND(EXACT(B489,C489),NOT(AND(ISBLANK(B489),ISBLANK(C489)))), "Common", "")</f>
        <v/>
      </c>
    </row>
    <row r="490" customFormat="false" ht="15.75" hidden="false" customHeight="false" outlineLevel="0" collapsed="false">
      <c r="A490" s="4"/>
      <c r="C490" s="3"/>
      <c r="D490" s="4" t="str">
        <f aca="false">IF(AND(EXACT(B490,C490),NOT(AND(ISBLANK(B490),ISBLANK(C490)))), "Common", "")</f>
        <v/>
      </c>
    </row>
    <row r="491" customFormat="false" ht="15.75" hidden="false" customHeight="false" outlineLevel="0" collapsed="false">
      <c r="A491" s="4"/>
      <c r="D491" s="4" t="str">
        <f aca="false">IF(AND(EXACT(B491,C491),NOT(AND(ISBLANK(B491),ISBLANK(C491)))), "Common", "")</f>
        <v/>
      </c>
    </row>
    <row r="492" customFormat="false" ht="15.75" hidden="false" customHeight="false" outlineLevel="0" collapsed="false">
      <c r="A492" s="4"/>
      <c r="B492" s="3"/>
      <c r="C492" s="3"/>
      <c r="D492" s="4" t="str">
        <f aca="false">IF(AND(EXACT(B492,C492),NOT(AND(ISBLANK(B492),ISBLANK(C492)))), "Common", "")</f>
        <v/>
      </c>
    </row>
    <row r="493" customFormat="false" ht="15.75" hidden="false" customHeight="false" outlineLevel="0" collapsed="false">
      <c r="A493" s="4"/>
      <c r="B493" s="3"/>
      <c r="C493" s="3"/>
      <c r="D493" s="4" t="str">
        <f aca="false">IF(AND(EXACT(B493,C493),NOT(AND(ISBLANK(B493),ISBLANK(C493)))), "Common", "")</f>
        <v/>
      </c>
    </row>
    <row r="494" customFormat="false" ht="15.75" hidden="false" customHeight="false" outlineLevel="0" collapsed="false">
      <c r="A494" s="4"/>
      <c r="B494" s="3"/>
      <c r="C494" s="3"/>
      <c r="D494" s="4" t="str">
        <f aca="false">IF(AND(EXACT(B494,C494),NOT(AND(ISBLANK(B494),ISBLANK(C494)))), "Common", "")</f>
        <v/>
      </c>
    </row>
    <row r="495" customFormat="false" ht="15.75" hidden="false" customHeight="false" outlineLevel="0" collapsed="false">
      <c r="A495" s="4"/>
      <c r="B495" s="3"/>
      <c r="D495" s="4" t="str">
        <f aca="false">IF(AND(EXACT(B495,C495),NOT(AND(ISBLANK(B495),ISBLANK(C495)))), "Common", "")</f>
        <v/>
      </c>
    </row>
    <row r="496" customFormat="false" ht="15.75" hidden="false" customHeight="false" outlineLevel="0" collapsed="false">
      <c r="A496" s="3"/>
      <c r="B496" s="3"/>
      <c r="D496" s="4" t="str">
        <f aca="false">IF(AND(EXACT(B496,C496),NOT(AND(ISBLANK(B496),ISBLANK(C496)))), "Common", "")</f>
        <v/>
      </c>
    </row>
    <row r="497" customFormat="false" ht="15.75" hidden="false" customHeight="false" outlineLevel="0" collapsed="false">
      <c r="A497" s="3"/>
      <c r="B497" s="3"/>
      <c r="D497" s="4" t="str">
        <f aca="false">IF(AND(EXACT(B497,C497),NOT(AND(ISBLANK(B497),ISBLANK(C497)))), "Common", "")</f>
        <v/>
      </c>
    </row>
    <row r="498" customFormat="false" ht="15.75" hidden="false" customHeight="false" outlineLevel="0" collapsed="false">
      <c r="A498" s="4"/>
      <c r="D498" s="4" t="str">
        <f aca="false">IF(AND(EXACT(B498,C498),NOT(AND(ISBLANK(B498),ISBLANK(C498)))), "Common", "")</f>
        <v/>
      </c>
    </row>
    <row r="499" customFormat="false" ht="15.75" hidden="false" customHeight="false" outlineLevel="0" collapsed="false">
      <c r="A499" s="4"/>
      <c r="B499" s="3"/>
      <c r="D499" s="4" t="str">
        <f aca="false">IF(AND(EXACT(B499,C499),NOT(AND(ISBLANK(B499),ISBLANK(C499)))), "Common", "")</f>
        <v/>
      </c>
    </row>
    <row r="500" customFormat="false" ht="15.75" hidden="false" customHeight="false" outlineLevel="0" collapsed="false">
      <c r="A500" s="4"/>
      <c r="B500" s="3"/>
      <c r="C500" s="3"/>
      <c r="D500" s="4" t="str">
        <f aca="false">IF(AND(EXACT(B500,C500),NOT(AND(ISBLANK(B500),ISBLANK(C500)))), "Common", "")</f>
        <v/>
      </c>
    </row>
    <row r="501" customFormat="false" ht="15.75" hidden="false" customHeight="false" outlineLevel="0" collapsed="false">
      <c r="A501" s="4"/>
      <c r="B501" s="3"/>
      <c r="C501" s="3"/>
      <c r="D501" s="4" t="str">
        <f aca="false">IF(AND(EXACT(B501,C501),NOT(AND(ISBLANK(B501),ISBLANK(C501)))), "Common", "")</f>
        <v/>
      </c>
    </row>
    <row r="502" customFormat="false" ht="15.75" hidden="false" customHeight="false" outlineLevel="0" collapsed="false">
      <c r="A502" s="4"/>
      <c r="D502" s="4" t="str">
        <f aca="false">IF(AND(EXACT(B502,C502),NOT(AND(ISBLANK(B502),ISBLANK(C502)))), "Common", "")</f>
        <v/>
      </c>
    </row>
    <row r="503" customFormat="false" ht="15.75" hidden="false" customHeight="false" outlineLevel="0" collapsed="false">
      <c r="A503" s="4"/>
      <c r="B503" s="3"/>
      <c r="D503" s="4" t="str">
        <f aca="false">IF(AND(EXACT(B503,C503),NOT(AND(ISBLANK(B503),ISBLANK(C503)))), "Common", "")</f>
        <v/>
      </c>
    </row>
    <row r="504" customFormat="false" ht="15.75" hidden="false" customHeight="false" outlineLevel="0" collapsed="false">
      <c r="A504" s="4"/>
      <c r="D504" s="4" t="str">
        <f aca="false">IF(AND(EXACT(B504,C504),NOT(AND(ISBLANK(B504),ISBLANK(C504)))), "Common", "")</f>
        <v/>
      </c>
    </row>
    <row r="505" customFormat="false" ht="15.75" hidden="false" customHeight="false" outlineLevel="0" collapsed="false">
      <c r="A505" s="4"/>
      <c r="D505" s="4" t="str">
        <f aca="false">IF(AND(EXACT(B505,C505),NOT(AND(ISBLANK(B505),ISBLANK(C505)))), "Common", "")</f>
        <v/>
      </c>
    </row>
    <row r="506" customFormat="false" ht="15.75" hidden="false" customHeight="false" outlineLevel="0" collapsed="false">
      <c r="A506" s="4"/>
      <c r="C506" s="3"/>
      <c r="D506" s="4" t="str">
        <f aca="false">IF(AND(EXACT(B506,C506),NOT(AND(ISBLANK(B506),ISBLANK(C506)))), "Common", "")</f>
        <v/>
      </c>
    </row>
    <row r="507" customFormat="false" ht="15.75" hidden="false" customHeight="false" outlineLevel="0" collapsed="false">
      <c r="A507" s="4"/>
      <c r="B507" s="3"/>
      <c r="D507" s="4" t="str">
        <f aca="false">IF(AND(EXACT(B507,C507),NOT(AND(ISBLANK(B507),ISBLANK(C507)))), "Common", "")</f>
        <v/>
      </c>
    </row>
    <row r="508" customFormat="false" ht="15.75" hidden="false" customHeight="false" outlineLevel="0" collapsed="false">
      <c r="A508" s="3"/>
      <c r="C508" s="3"/>
      <c r="D508" s="4" t="str">
        <f aca="false">IF(AND(EXACT(B508,C508),NOT(AND(ISBLANK(B508),ISBLANK(C508)))), "Common", "")</f>
        <v/>
      </c>
    </row>
    <row r="509" customFormat="false" ht="15.75" hidden="false" customHeight="false" outlineLevel="0" collapsed="false">
      <c r="A509" s="3"/>
      <c r="B509" s="3"/>
      <c r="C509" s="3"/>
      <c r="D509" s="4" t="str">
        <f aca="false">IF(AND(EXACT(B509,C509),NOT(AND(ISBLANK(B509),ISBLANK(C509)))), "Common", "")</f>
        <v/>
      </c>
    </row>
    <row r="510" customFormat="false" ht="15.75" hidden="false" customHeight="false" outlineLevel="0" collapsed="false">
      <c r="A510" s="3"/>
      <c r="B510" s="3"/>
      <c r="C510" s="3"/>
      <c r="D510" s="4" t="str">
        <f aca="false">IF(AND(EXACT(B510,C510),NOT(AND(ISBLANK(B510),ISBLANK(C510)))), "Common", "")</f>
        <v/>
      </c>
    </row>
    <row r="511" customFormat="false" ht="15.75" hidden="false" customHeight="false" outlineLevel="0" collapsed="false">
      <c r="A511" s="3"/>
      <c r="B511" s="3"/>
      <c r="C511" s="3"/>
      <c r="D511" s="4" t="str">
        <f aca="false">IF(AND(EXACT(B511,C511),NOT(AND(ISBLANK(B511),ISBLANK(C511)))), "Common", "")</f>
        <v/>
      </c>
    </row>
    <row r="512" customFormat="false" ht="15.75" hidden="false" customHeight="false" outlineLevel="0" collapsed="false">
      <c r="A512" s="3"/>
      <c r="B512" s="3"/>
      <c r="C512" s="3"/>
      <c r="D512" s="4" t="str">
        <f aca="false">IF(AND(EXACT(B512,C512),NOT(AND(ISBLANK(B512),ISBLANK(C512)))), "Common", "")</f>
        <v/>
      </c>
    </row>
    <row r="513" customFormat="false" ht="15.75" hidden="false" customHeight="false" outlineLevel="0" collapsed="false">
      <c r="A513" s="3"/>
      <c r="B513" s="3"/>
      <c r="C513" s="3"/>
      <c r="D513" s="4" t="str">
        <f aca="false">IF(AND(EXACT(B513,C513),NOT(AND(ISBLANK(B513),ISBLANK(C513)))), "Common", "")</f>
        <v/>
      </c>
    </row>
    <row r="514" customFormat="false" ht="15.75" hidden="false" customHeight="false" outlineLevel="0" collapsed="false">
      <c r="A514" s="3"/>
      <c r="B514" s="3"/>
      <c r="C514" s="3"/>
      <c r="D514" s="4" t="str">
        <f aca="false">IF(AND(EXACT(B514,C514),NOT(AND(ISBLANK(B514),ISBLANK(C514)))), "Common", "")</f>
        <v/>
      </c>
    </row>
    <row r="515" customFormat="false" ht="15.75" hidden="false" customHeight="false" outlineLevel="0" collapsed="false">
      <c r="A515" s="3"/>
      <c r="B515" s="3"/>
      <c r="C515" s="3"/>
      <c r="D515" s="4" t="str">
        <f aca="false">IF(AND(EXACT(B515,C515),NOT(AND(ISBLANK(B515),ISBLANK(C515)))), "Common", "")</f>
        <v/>
      </c>
    </row>
    <row r="516" customFormat="false" ht="15.75" hidden="false" customHeight="false" outlineLevel="0" collapsed="false">
      <c r="A516" s="3"/>
      <c r="B516" s="3"/>
      <c r="C516" s="3"/>
      <c r="D516" s="4" t="str">
        <f aca="false">IF(AND(EXACT(B516,C516),NOT(AND(ISBLANK(B516),ISBLANK(C516)))), "Common", "")</f>
        <v/>
      </c>
    </row>
    <row r="517" customFormat="false" ht="15.75" hidden="false" customHeight="false" outlineLevel="0" collapsed="false">
      <c r="A517" s="3"/>
      <c r="B517" s="3"/>
      <c r="C517" s="3"/>
      <c r="D517" s="4" t="str">
        <f aca="false">IF(AND(EXACT(B517,C517),NOT(AND(ISBLANK(B517),ISBLANK(C517)))), "Common", "")</f>
        <v/>
      </c>
    </row>
    <row r="518" customFormat="false" ht="15.75" hidden="false" customHeight="false" outlineLevel="0" collapsed="false">
      <c r="A518" s="3"/>
      <c r="B518" s="3"/>
      <c r="C518" s="3"/>
      <c r="D518" s="4" t="str">
        <f aca="false">IF(AND(EXACT(B518,C518),NOT(AND(ISBLANK(B518),ISBLANK(C518)))), "Common", "")</f>
        <v/>
      </c>
    </row>
    <row r="519" customFormat="false" ht="15.75" hidden="false" customHeight="false" outlineLevel="0" collapsed="false">
      <c r="A519" s="3"/>
      <c r="B519" s="3"/>
      <c r="C519" s="3"/>
      <c r="D519" s="4" t="str">
        <f aca="false">IF(AND(EXACT(B519,C519),NOT(AND(ISBLANK(B519),ISBLANK(C519)))), "Common", "")</f>
        <v/>
      </c>
    </row>
    <row r="520" customFormat="false" ht="15.75" hidden="false" customHeight="false" outlineLevel="0" collapsed="false">
      <c r="A520" s="3"/>
      <c r="B520" s="3"/>
      <c r="C520" s="3"/>
      <c r="D520" s="4" t="str">
        <f aca="false">IF(AND(EXACT(B520,C520),NOT(AND(ISBLANK(B520),ISBLANK(C520)))), "Common", "")</f>
        <v/>
      </c>
    </row>
    <row r="521" customFormat="false" ht="15.75" hidden="false" customHeight="false" outlineLevel="0" collapsed="false">
      <c r="A521" s="4"/>
      <c r="D521" s="4" t="str">
        <f aca="false">IF(AND(EXACT(B521,C521),NOT(AND(ISBLANK(B521),ISBLANK(C521)))), "Common", "")</f>
        <v/>
      </c>
    </row>
    <row r="522" customFormat="false" ht="15.75" hidden="false" customHeight="false" outlineLevel="0" collapsed="false">
      <c r="A522" s="4"/>
      <c r="D522" s="4" t="str">
        <f aca="false">IF(AND(EXACT(B522,C522),NOT(AND(ISBLANK(B522),ISBLANK(C522)))), "Common", "")</f>
        <v/>
      </c>
    </row>
    <row r="523" customFormat="false" ht="15.75" hidden="false" customHeight="false" outlineLevel="0" collapsed="false">
      <c r="A523" s="4"/>
      <c r="B523" s="3"/>
      <c r="D523" s="4" t="str">
        <f aca="false">IF(AND(EXACT(B523,C523),NOT(AND(ISBLANK(B523),ISBLANK(C523)))), "Common", "")</f>
        <v/>
      </c>
    </row>
    <row r="524" customFormat="false" ht="15.75" hidden="false" customHeight="false" outlineLevel="0" collapsed="false">
      <c r="A524" s="4"/>
      <c r="B524" s="3"/>
      <c r="D524" s="4" t="str">
        <f aca="false">IF(AND(EXACT(B524,C524),NOT(AND(ISBLANK(B524),ISBLANK(C524)))), "Common", "")</f>
        <v/>
      </c>
    </row>
    <row r="525" customFormat="false" ht="15.75" hidden="false" customHeight="false" outlineLevel="0" collapsed="false">
      <c r="A525" s="4"/>
      <c r="D525" s="4" t="str">
        <f aca="false">IF(AND(EXACT(B525,C525),NOT(AND(ISBLANK(B525),ISBLANK(C525)))), "Common", "")</f>
        <v/>
      </c>
    </row>
    <row r="526" customFormat="false" ht="15.75" hidden="false" customHeight="false" outlineLevel="0" collapsed="false">
      <c r="A526" s="4"/>
      <c r="B526" s="3"/>
      <c r="C526" s="3"/>
      <c r="D526" s="4" t="str">
        <f aca="false">IF(AND(EXACT(B526,C526),NOT(AND(ISBLANK(B526),ISBLANK(C526)))), "Common", "")</f>
        <v/>
      </c>
    </row>
    <row r="527" customFormat="false" ht="15.75" hidden="false" customHeight="false" outlineLevel="0" collapsed="false">
      <c r="A527" s="4"/>
      <c r="B527" s="3"/>
      <c r="C527" s="3"/>
      <c r="D527" s="4" t="str">
        <f aca="false">IF(AND(EXACT(B527,C527),NOT(AND(ISBLANK(B527),ISBLANK(C527)))), "Common", "")</f>
        <v/>
      </c>
    </row>
    <row r="528" customFormat="false" ht="15.75" hidden="false" customHeight="false" outlineLevel="0" collapsed="false">
      <c r="A528" s="4"/>
      <c r="D528" s="4" t="str">
        <f aca="false">IF(AND(EXACT(B528,C528),NOT(AND(ISBLANK(B528),ISBLANK(C528)))), "Common", "")</f>
        <v/>
      </c>
    </row>
    <row r="529" customFormat="false" ht="15.75" hidden="false" customHeight="false" outlineLevel="0" collapsed="false">
      <c r="A529" s="4"/>
      <c r="C529" s="3"/>
      <c r="D529" s="4" t="str">
        <f aca="false">IF(AND(EXACT(B529,C529),NOT(AND(ISBLANK(B529),ISBLANK(C529)))), "Common", "")</f>
        <v/>
      </c>
    </row>
    <row r="530" customFormat="false" ht="15.75" hidden="false" customHeight="false" outlineLevel="0" collapsed="false">
      <c r="A530" s="4"/>
      <c r="B530" s="3"/>
      <c r="C530" s="3"/>
      <c r="D530" s="4" t="str">
        <f aca="false">IF(AND(EXACT(B530,C530),NOT(AND(ISBLANK(B530),ISBLANK(C530)))), "Common", "")</f>
        <v/>
      </c>
    </row>
    <row r="531" customFormat="false" ht="15.75" hidden="false" customHeight="false" outlineLevel="0" collapsed="false">
      <c r="A531" s="4"/>
      <c r="B531" s="3"/>
      <c r="C531" s="3"/>
      <c r="D531" s="4" t="str">
        <f aca="false">IF(AND(EXACT(B531,C531),NOT(AND(ISBLANK(B531),ISBLANK(C531)))), "Common", "")</f>
        <v/>
      </c>
    </row>
    <row r="532" customFormat="false" ht="15.75" hidden="false" customHeight="false" outlineLevel="0" collapsed="false">
      <c r="A532" s="4"/>
      <c r="B532" s="3"/>
      <c r="C532" s="3"/>
      <c r="D532" s="4" t="str">
        <f aca="false">IF(AND(EXACT(B532,C532),NOT(AND(ISBLANK(B532),ISBLANK(C532)))), "Common", "")</f>
        <v/>
      </c>
    </row>
    <row r="533" customFormat="false" ht="15.75" hidden="false" customHeight="false" outlineLevel="0" collapsed="false">
      <c r="A533" s="4"/>
      <c r="B533" s="3"/>
      <c r="C533" s="3"/>
      <c r="D533" s="4" t="str">
        <f aca="false">IF(AND(EXACT(B533,C533),NOT(AND(ISBLANK(B533),ISBLANK(C533)))), "Common", "")</f>
        <v/>
      </c>
    </row>
    <row r="534" customFormat="false" ht="15.75" hidden="false" customHeight="false" outlineLevel="0" collapsed="false">
      <c r="A534" s="4"/>
      <c r="B534" s="3"/>
      <c r="C534" s="3"/>
      <c r="D534" s="4" t="str">
        <f aca="false">IF(AND(EXACT(B534,C534),NOT(AND(ISBLANK(B534),ISBLANK(C534)))), "Common", "")</f>
        <v/>
      </c>
    </row>
    <row r="535" customFormat="false" ht="15.75" hidden="false" customHeight="false" outlineLevel="0" collapsed="false">
      <c r="A535" s="4"/>
      <c r="B535" s="3"/>
      <c r="C535" s="3"/>
      <c r="D535" s="4" t="str">
        <f aca="false">IF(AND(EXACT(B535,C535),NOT(AND(ISBLANK(B535),ISBLANK(C535)))), "Common", "")</f>
        <v/>
      </c>
    </row>
    <row r="536" customFormat="false" ht="15.75" hidden="false" customHeight="false" outlineLevel="0" collapsed="false">
      <c r="A536" s="4"/>
      <c r="B536" s="3"/>
      <c r="C536" s="3"/>
      <c r="D536" s="4" t="str">
        <f aca="false">IF(AND(EXACT(B536,C536),NOT(AND(ISBLANK(B536),ISBLANK(C536)))), "Common", "")</f>
        <v/>
      </c>
    </row>
    <row r="537" customFormat="false" ht="15.75" hidden="false" customHeight="false" outlineLevel="0" collapsed="false">
      <c r="A537" s="4"/>
      <c r="D537" s="4" t="str">
        <f aca="false">IF(AND(EXACT(B537,C537),NOT(AND(ISBLANK(B537),ISBLANK(C537)))), "Common", "")</f>
        <v/>
      </c>
    </row>
    <row r="538" customFormat="false" ht="15.75" hidden="false" customHeight="false" outlineLevel="0" collapsed="false">
      <c r="A538" s="4"/>
      <c r="B538" s="3"/>
      <c r="C538" s="3"/>
      <c r="D538" s="4" t="str">
        <f aca="false">IF(AND(EXACT(B538,C538),NOT(AND(ISBLANK(B538),ISBLANK(C538)))), "Common", "")</f>
        <v/>
      </c>
    </row>
    <row r="539" customFormat="false" ht="15.75" hidden="false" customHeight="false" outlineLevel="0" collapsed="false">
      <c r="A539" s="4"/>
      <c r="B539" s="3"/>
      <c r="C539" s="3"/>
      <c r="D539" s="4" t="str">
        <f aca="false">IF(AND(EXACT(B539,C539),NOT(AND(ISBLANK(B539),ISBLANK(C539)))), "Common", "")</f>
        <v/>
      </c>
    </row>
    <row r="540" customFormat="false" ht="15.75" hidden="false" customHeight="false" outlineLevel="0" collapsed="false">
      <c r="A540" s="4"/>
      <c r="B540" s="3"/>
      <c r="C540" s="3"/>
      <c r="D540" s="4" t="str">
        <f aca="false">IF(AND(EXACT(B540,C540),NOT(AND(ISBLANK(B540),ISBLANK(C540)))), "Common", "")</f>
        <v/>
      </c>
    </row>
    <row r="541" customFormat="false" ht="15.75" hidden="false" customHeight="false" outlineLevel="0" collapsed="false">
      <c r="A541" s="4"/>
      <c r="B541" s="3"/>
      <c r="D541" s="4" t="str">
        <f aca="false">IF(AND(EXACT(B541,C541),NOT(AND(ISBLANK(B541),ISBLANK(C541)))), "Common", "")</f>
        <v/>
      </c>
    </row>
    <row r="542" customFormat="false" ht="15.75" hidden="false" customHeight="false" outlineLevel="0" collapsed="false">
      <c r="A542" s="4"/>
      <c r="B542" s="3"/>
      <c r="C542" s="3"/>
      <c r="D542" s="4" t="str">
        <f aca="false">IF(AND(EXACT(B542,C542),NOT(AND(ISBLANK(B542),ISBLANK(C542)))), "Common", "")</f>
        <v/>
      </c>
    </row>
    <row r="543" customFormat="false" ht="15.75" hidden="false" customHeight="false" outlineLevel="0" collapsed="false">
      <c r="A543" s="4"/>
      <c r="B543" s="3"/>
      <c r="C543" s="3"/>
      <c r="D543" s="4" t="str">
        <f aca="false">IF(AND(EXACT(B543,C543),NOT(AND(ISBLANK(B543),ISBLANK(C543)))), "Common", "")</f>
        <v/>
      </c>
    </row>
    <row r="544" customFormat="false" ht="15.75" hidden="false" customHeight="false" outlineLevel="0" collapsed="false">
      <c r="A544" s="4"/>
      <c r="C544" s="3"/>
      <c r="D544" s="4" t="str">
        <f aca="false">IF(AND(EXACT(B544,C544),NOT(AND(ISBLANK(B544),ISBLANK(C544)))), "Common", "")</f>
        <v/>
      </c>
    </row>
    <row r="545" customFormat="false" ht="15.75" hidden="false" customHeight="false" outlineLevel="0" collapsed="false">
      <c r="A545" s="4"/>
      <c r="B545" s="3"/>
      <c r="C545" s="3"/>
      <c r="D545" s="4" t="str">
        <f aca="false">IF(AND(EXACT(B545,C545),NOT(AND(ISBLANK(B545),ISBLANK(C545)))), "Common", "")</f>
        <v/>
      </c>
    </row>
    <row r="546" customFormat="false" ht="15.75" hidden="false" customHeight="false" outlineLevel="0" collapsed="false">
      <c r="A546" s="4"/>
      <c r="B546" s="3"/>
      <c r="C546" s="3"/>
      <c r="D546" s="4" t="str">
        <f aca="false">IF(AND(EXACT(B546,C546),NOT(AND(ISBLANK(B546),ISBLANK(C546)))), "Common", "")</f>
        <v/>
      </c>
    </row>
    <row r="547" customFormat="false" ht="15.75" hidden="false" customHeight="false" outlineLevel="0" collapsed="false">
      <c r="A547" s="4"/>
      <c r="B547" s="3"/>
      <c r="C547" s="3"/>
      <c r="D547" s="4" t="str">
        <f aca="false">IF(AND(EXACT(B547,C547),NOT(AND(ISBLANK(B547),ISBLANK(C547)))), "Common", "")</f>
        <v/>
      </c>
    </row>
    <row r="548" customFormat="false" ht="15.75" hidden="false" customHeight="false" outlineLevel="0" collapsed="false">
      <c r="A548" s="4"/>
      <c r="B548" s="3"/>
      <c r="C548" s="3"/>
      <c r="D548" s="4" t="str">
        <f aca="false">IF(AND(EXACT(B548,C548),NOT(AND(ISBLANK(B548),ISBLANK(C548)))), "Common", "")</f>
        <v/>
      </c>
    </row>
    <row r="549" customFormat="false" ht="15.75" hidden="false" customHeight="false" outlineLevel="0" collapsed="false">
      <c r="A549" s="4"/>
      <c r="B549" s="3"/>
      <c r="C549" s="3"/>
      <c r="D549" s="4" t="str">
        <f aca="false">IF(AND(EXACT(B549,C549),NOT(AND(ISBLANK(B549),ISBLANK(C549)))), "Common", "")</f>
        <v/>
      </c>
    </row>
    <row r="550" customFormat="false" ht="15.75" hidden="false" customHeight="false" outlineLevel="0" collapsed="false">
      <c r="A550" s="4"/>
      <c r="B550" s="3"/>
      <c r="C550" s="3"/>
      <c r="D550" s="4" t="str">
        <f aca="false">IF(AND(EXACT(B550,C550),NOT(AND(ISBLANK(B550),ISBLANK(C550)))), "Common", "")</f>
        <v/>
      </c>
    </row>
    <row r="551" customFormat="false" ht="15.75" hidden="false" customHeight="false" outlineLevel="0" collapsed="false">
      <c r="A551" s="4"/>
      <c r="B551" s="3"/>
      <c r="C551" s="3"/>
      <c r="D551" s="4" t="str">
        <f aca="false">IF(AND(EXACT(B551,C551),NOT(AND(ISBLANK(B551),ISBLANK(C551)))), "Common", "")</f>
        <v/>
      </c>
    </row>
    <row r="552" customFormat="false" ht="15.75" hidden="false" customHeight="false" outlineLevel="0" collapsed="false">
      <c r="A552" s="4"/>
      <c r="B552" s="3"/>
      <c r="C552" s="3"/>
      <c r="D552" s="4" t="str">
        <f aca="false">IF(AND(EXACT(B552,C552),NOT(AND(ISBLANK(B552),ISBLANK(C552)))), "Common", "")</f>
        <v/>
      </c>
    </row>
    <row r="553" customFormat="false" ht="15.75" hidden="false" customHeight="false" outlineLevel="0" collapsed="false">
      <c r="A553" s="4"/>
      <c r="B553" s="3"/>
      <c r="C553" s="10"/>
      <c r="D553" s="4" t="str">
        <f aca="false">IF(AND(EXACT(B553,C553),NOT(AND(ISBLANK(B553),ISBLANK(C553)))), "Common", "")</f>
        <v/>
      </c>
    </row>
    <row r="554" customFormat="false" ht="15.75" hidden="false" customHeight="false" outlineLevel="0" collapsed="false">
      <c r="A554" s="4"/>
      <c r="B554" s="3"/>
      <c r="C554" s="3"/>
      <c r="D554" s="4" t="str">
        <f aca="false">IF(AND(EXACT(B554,C554),NOT(AND(ISBLANK(B554),ISBLANK(C554)))), "Common", "")</f>
        <v/>
      </c>
    </row>
    <row r="555" customFormat="false" ht="15.75" hidden="false" customHeight="false" outlineLevel="0" collapsed="false">
      <c r="A555" s="4"/>
      <c r="B555" s="3"/>
      <c r="C555" s="3"/>
      <c r="D555" s="4" t="str">
        <f aca="false">IF(AND(EXACT(B555,C555),NOT(AND(ISBLANK(B555),ISBLANK(C555)))), "Common", "")</f>
        <v/>
      </c>
    </row>
    <row r="556" customFormat="false" ht="15.75" hidden="false" customHeight="false" outlineLevel="0" collapsed="false">
      <c r="A556" s="4"/>
      <c r="B556" s="3"/>
      <c r="C556" s="3"/>
      <c r="D556" s="4" t="str">
        <f aca="false">IF(AND(EXACT(B556,C556),NOT(AND(ISBLANK(B556),ISBLANK(C556)))), "Common", "")</f>
        <v/>
      </c>
    </row>
    <row r="557" customFormat="false" ht="15.75" hidden="false" customHeight="false" outlineLevel="0" collapsed="false">
      <c r="A557" s="4"/>
      <c r="C557" s="3"/>
      <c r="D557" s="4" t="str">
        <f aca="false">IF(AND(EXACT(B557,C557),NOT(AND(ISBLANK(B557),ISBLANK(C557)))), "Common", "")</f>
        <v/>
      </c>
    </row>
    <row r="558" customFormat="false" ht="15.75" hidden="false" customHeight="false" outlineLevel="0" collapsed="false">
      <c r="A558" s="4"/>
      <c r="B558" s="3"/>
      <c r="C558" s="3"/>
      <c r="D558" s="4" t="str">
        <f aca="false">IF(AND(EXACT(B558,C558),NOT(AND(ISBLANK(B558),ISBLANK(C558)))), "Common", "")</f>
        <v/>
      </c>
    </row>
    <row r="559" customFormat="false" ht="15.75" hidden="false" customHeight="false" outlineLevel="0" collapsed="false">
      <c r="A559" s="4"/>
      <c r="B559" s="3"/>
      <c r="C559" s="3"/>
      <c r="D559" s="4" t="str">
        <f aca="false">IF(AND(EXACT(B559,C559),NOT(AND(ISBLANK(B559),ISBLANK(C559)))), "Common", "")</f>
        <v/>
      </c>
    </row>
    <row r="560" customFormat="false" ht="15.75" hidden="false" customHeight="false" outlineLevel="0" collapsed="false">
      <c r="A560" s="4"/>
      <c r="B560" s="3"/>
      <c r="C560" s="3"/>
      <c r="D560" s="4" t="str">
        <f aca="false">IF(AND(EXACT(B560,C560),NOT(AND(ISBLANK(B560),ISBLANK(C560)))), "Common", "")</f>
        <v/>
      </c>
    </row>
    <row r="561" customFormat="false" ht="15.75" hidden="false" customHeight="false" outlineLevel="0" collapsed="false">
      <c r="A561" s="4"/>
      <c r="B561" s="3"/>
      <c r="C561" s="3"/>
      <c r="D561" s="4" t="str">
        <f aca="false">IF(AND(EXACT(B561,C561),NOT(AND(ISBLANK(B561),ISBLANK(C561)))), "Common", "")</f>
        <v/>
      </c>
    </row>
    <row r="562" customFormat="false" ht="15.75" hidden="false" customHeight="false" outlineLevel="0" collapsed="false">
      <c r="A562" s="4"/>
      <c r="B562" s="3"/>
      <c r="C562" s="3"/>
      <c r="D562" s="4" t="str">
        <f aca="false">IF(AND(EXACT(B562,C562),NOT(AND(ISBLANK(B562),ISBLANK(C562)))), "Common", "")</f>
        <v/>
      </c>
    </row>
    <row r="563" customFormat="false" ht="15.75" hidden="false" customHeight="false" outlineLevel="0" collapsed="false">
      <c r="A563" s="4"/>
      <c r="B563" s="3"/>
      <c r="C563" s="3"/>
      <c r="D563" s="4" t="str">
        <f aca="false">IF(AND(EXACT(B563,C563),NOT(AND(ISBLANK(B563),ISBLANK(C563)))), "Common", "")</f>
        <v/>
      </c>
    </row>
    <row r="564" customFormat="false" ht="15.75" hidden="false" customHeight="false" outlineLevel="0" collapsed="false">
      <c r="A564" s="4"/>
      <c r="B564" s="3"/>
      <c r="C564" s="3"/>
      <c r="D564" s="4" t="str">
        <f aca="false">IF(AND(EXACT(B564,C564),NOT(AND(ISBLANK(B564),ISBLANK(C564)))), "Common", "")</f>
        <v/>
      </c>
    </row>
    <row r="565" customFormat="false" ht="15.75" hidden="false" customHeight="false" outlineLevel="0" collapsed="false">
      <c r="A565" s="4"/>
      <c r="B565" s="3"/>
      <c r="C565" s="3"/>
      <c r="D565" s="4" t="str">
        <f aca="false">IF(AND(EXACT(B565,C565),NOT(AND(ISBLANK(B565),ISBLANK(C565)))), "Common", "")</f>
        <v/>
      </c>
    </row>
    <row r="566" customFormat="false" ht="15.75" hidden="false" customHeight="false" outlineLevel="0" collapsed="false">
      <c r="A566" s="4"/>
      <c r="B566" s="3"/>
      <c r="C566" s="3"/>
      <c r="D566" s="4" t="str">
        <f aca="false">IF(AND(EXACT(B566,C566),NOT(AND(ISBLANK(B566),ISBLANK(C566)))), "Common", "")</f>
        <v/>
      </c>
    </row>
    <row r="567" customFormat="false" ht="15.75" hidden="false" customHeight="false" outlineLevel="0" collapsed="false">
      <c r="A567" s="4"/>
      <c r="B567" s="3"/>
      <c r="C567" s="3"/>
      <c r="D567" s="4" t="str">
        <f aca="false">IF(AND(EXACT(B567,C567),NOT(AND(ISBLANK(B567),ISBLANK(C567)))), "Common", "")</f>
        <v/>
      </c>
    </row>
    <row r="568" customFormat="false" ht="15.75" hidden="false" customHeight="false" outlineLevel="0" collapsed="false">
      <c r="A568" s="10"/>
      <c r="C568" s="10"/>
      <c r="D568" s="4" t="str">
        <f aca="false">IF(AND(EXACT(B568,C568),NOT(AND(ISBLANK(B568),ISBLANK(C568)))), "Common", "")</f>
        <v/>
      </c>
    </row>
    <row r="569" customFormat="false" ht="15.75" hidden="false" customHeight="false" outlineLevel="0" collapsed="false">
      <c r="A569" s="4"/>
      <c r="B569" s="3"/>
      <c r="C569" s="3"/>
      <c r="D569" s="4" t="str">
        <f aca="false">IF(AND(EXACT(B569,C569),NOT(AND(ISBLANK(B569),ISBLANK(C569)))), "Common", "")</f>
        <v/>
      </c>
    </row>
    <row r="570" customFormat="false" ht="15.75" hidden="false" customHeight="false" outlineLevel="0" collapsed="false">
      <c r="A570" s="4"/>
      <c r="B570" s="3"/>
      <c r="C570" s="3"/>
      <c r="D570" s="4" t="str">
        <f aca="false">IF(AND(EXACT(B570,C570),NOT(AND(ISBLANK(B570),ISBLANK(C570)))), "Common", "")</f>
        <v/>
      </c>
    </row>
    <row r="571" customFormat="false" ht="15.75" hidden="false" customHeight="false" outlineLevel="0" collapsed="false">
      <c r="A571" s="4"/>
      <c r="B571" s="3"/>
      <c r="C571" s="3"/>
      <c r="D571" s="4" t="str">
        <f aca="false">IF(AND(EXACT(B571,C571),NOT(AND(ISBLANK(B571),ISBLANK(C571)))), "Common", "")</f>
        <v/>
      </c>
    </row>
    <row r="572" customFormat="false" ht="15.75" hidden="false" customHeight="false" outlineLevel="0" collapsed="false">
      <c r="A572" s="4"/>
      <c r="B572" s="3"/>
      <c r="C572" s="3"/>
      <c r="D572" s="4" t="str">
        <f aca="false">IF(AND(EXACT(B572,C572),NOT(AND(ISBLANK(B572),ISBLANK(C572)))), "Common", "")</f>
        <v/>
      </c>
    </row>
    <row r="573" customFormat="false" ht="15.75" hidden="false" customHeight="false" outlineLevel="0" collapsed="false">
      <c r="A573" s="4"/>
      <c r="B573" s="3"/>
      <c r="C573" s="3"/>
      <c r="D573" s="4" t="str">
        <f aca="false">IF(AND(EXACT(B573,C573),NOT(AND(ISBLANK(B573),ISBLANK(C573)))), "Common", "")</f>
        <v/>
      </c>
    </row>
    <row r="574" customFormat="false" ht="15.75" hidden="false" customHeight="false" outlineLevel="0" collapsed="false">
      <c r="A574" s="4"/>
      <c r="B574" s="3"/>
      <c r="C574" s="3"/>
      <c r="D574" s="4" t="str">
        <f aca="false">IF(AND(EXACT(B574,C574),NOT(AND(ISBLANK(B574),ISBLANK(C574)))), "Common", "")</f>
        <v/>
      </c>
    </row>
    <row r="575" customFormat="false" ht="15.75" hidden="false" customHeight="false" outlineLevel="0" collapsed="false">
      <c r="A575" s="4"/>
      <c r="B575" s="3"/>
      <c r="D575" s="4" t="str">
        <f aca="false">IF(AND(EXACT(B575,C575),NOT(AND(ISBLANK(B575),ISBLANK(C575)))), "Common", "")</f>
        <v/>
      </c>
    </row>
    <row r="576" customFormat="false" ht="15.75" hidden="false" customHeight="false" outlineLevel="0" collapsed="false">
      <c r="A576" s="4"/>
      <c r="B576" s="3"/>
      <c r="C576" s="3"/>
      <c r="D576" s="4" t="str">
        <f aca="false">IF(AND(EXACT(B576,C576),NOT(AND(ISBLANK(B576),ISBLANK(C576)))), "Common", "")</f>
        <v/>
      </c>
    </row>
    <row r="577" customFormat="false" ht="15.75" hidden="false" customHeight="false" outlineLevel="0" collapsed="false">
      <c r="A577" s="4"/>
      <c r="B577" s="3"/>
      <c r="C577" s="3"/>
      <c r="D577" s="4" t="str">
        <f aca="false">IF(AND(EXACT(B577,C577),NOT(AND(ISBLANK(B577),ISBLANK(C577)))), "Common", "")</f>
        <v/>
      </c>
    </row>
    <row r="578" customFormat="false" ht="15.75" hidden="false" customHeight="false" outlineLevel="0" collapsed="false">
      <c r="A578" s="4"/>
      <c r="B578" s="3"/>
      <c r="C578" s="3"/>
      <c r="D578" s="4" t="str">
        <f aca="false">IF(AND(EXACT(B578,C578),NOT(AND(ISBLANK(B578),ISBLANK(C578)))), "Common", "")</f>
        <v/>
      </c>
    </row>
    <row r="579" customFormat="false" ht="15.75" hidden="false" customHeight="false" outlineLevel="0" collapsed="false">
      <c r="A579" s="4"/>
      <c r="B579" s="3"/>
      <c r="C579" s="3"/>
      <c r="D579" s="4" t="str">
        <f aca="false">IF(AND(EXACT(B579,C579),NOT(AND(ISBLANK(B579),ISBLANK(C579)))), "Common", "")</f>
        <v/>
      </c>
    </row>
    <row r="580" customFormat="false" ht="15.75" hidden="false" customHeight="false" outlineLevel="0" collapsed="false">
      <c r="A580" s="4"/>
      <c r="B580" s="3"/>
      <c r="C580" s="3"/>
      <c r="D580" s="4" t="str">
        <f aca="false">IF(AND(EXACT(B580,C580),NOT(AND(ISBLANK(B580),ISBLANK(C580)))), "Common", "")</f>
        <v/>
      </c>
    </row>
    <row r="581" customFormat="false" ht="15.75" hidden="false" customHeight="false" outlineLevel="0" collapsed="false">
      <c r="A581" s="4"/>
      <c r="B581" s="3"/>
      <c r="C581" s="3"/>
      <c r="D581" s="4" t="str">
        <f aca="false">IF(AND(EXACT(B581,C581),NOT(AND(ISBLANK(B581),ISBLANK(C581)))), "Common", "")</f>
        <v/>
      </c>
    </row>
    <row r="582" customFormat="false" ht="15.75" hidden="false" customHeight="false" outlineLevel="0" collapsed="false">
      <c r="A582" s="4"/>
      <c r="B582" s="3"/>
      <c r="C582" s="3"/>
      <c r="D582" s="4" t="str">
        <f aca="false">IF(AND(EXACT(B582,C582),NOT(AND(ISBLANK(B582),ISBLANK(C582)))), "Common", "")</f>
        <v/>
      </c>
    </row>
    <row r="583" customFormat="false" ht="15.75" hidden="false" customHeight="false" outlineLevel="0" collapsed="false">
      <c r="A583" s="4"/>
      <c r="B583" s="3"/>
      <c r="C583" s="3"/>
      <c r="D583" s="4" t="str">
        <f aca="false">IF(AND(EXACT(B583,C583),NOT(AND(ISBLANK(B583),ISBLANK(C583)))), "Common", "")</f>
        <v/>
      </c>
    </row>
    <row r="584" customFormat="false" ht="15.75" hidden="false" customHeight="false" outlineLevel="0" collapsed="false">
      <c r="A584" s="4"/>
      <c r="B584" s="3"/>
      <c r="C584" s="3"/>
      <c r="D584" s="4" t="str">
        <f aca="false">IF(AND(EXACT(B584,C584),NOT(AND(ISBLANK(B584),ISBLANK(C584)))), "Common", "")</f>
        <v/>
      </c>
    </row>
    <row r="585" customFormat="false" ht="15.75" hidden="false" customHeight="false" outlineLevel="0" collapsed="false">
      <c r="A585" s="4"/>
      <c r="B585" s="3"/>
      <c r="C585" s="3"/>
      <c r="D585" s="4" t="str">
        <f aca="false">IF(AND(EXACT(B585,C585),NOT(AND(ISBLANK(B585),ISBLANK(C585)))), "Common", "")</f>
        <v/>
      </c>
    </row>
    <row r="586" customFormat="false" ht="15.75" hidden="false" customHeight="false" outlineLevel="0" collapsed="false">
      <c r="A586" s="4"/>
      <c r="B586" s="3"/>
      <c r="C586" s="3"/>
      <c r="D586" s="4" t="str">
        <f aca="false">IF(AND(EXACT(B586,C586),NOT(AND(ISBLANK(B586),ISBLANK(C586)))), "Common", "")</f>
        <v/>
      </c>
    </row>
    <row r="587" customFormat="false" ht="15.75" hidden="false" customHeight="false" outlineLevel="0" collapsed="false">
      <c r="A587" s="4"/>
      <c r="B587" s="3"/>
      <c r="C587" s="3"/>
      <c r="D587" s="4" t="str">
        <f aca="false">IF(AND(EXACT(B587,C587),NOT(AND(ISBLANK(B587),ISBLANK(C587)))), "Common", "")</f>
        <v/>
      </c>
    </row>
    <row r="588" customFormat="false" ht="15.75" hidden="false" customHeight="false" outlineLevel="0" collapsed="false">
      <c r="A588" s="4"/>
      <c r="B588" s="3"/>
      <c r="C588" s="3"/>
      <c r="D588" s="4" t="str">
        <f aca="false">IF(AND(EXACT(B588,C588),NOT(AND(ISBLANK(B588),ISBLANK(C588)))), "Common", "")</f>
        <v/>
      </c>
    </row>
    <row r="589" customFormat="false" ht="15.75" hidden="false" customHeight="false" outlineLevel="0" collapsed="false">
      <c r="A589" s="4"/>
      <c r="B589" s="3"/>
      <c r="C589" s="3"/>
      <c r="D589" s="4" t="str">
        <f aca="false">IF(AND(EXACT(B589,C589),NOT(AND(ISBLANK(B589),ISBLANK(C589)))), "Common", "")</f>
        <v/>
      </c>
    </row>
    <row r="590" customFormat="false" ht="15.75" hidden="false" customHeight="false" outlineLevel="0" collapsed="false">
      <c r="A590" s="4"/>
      <c r="B590" s="3"/>
      <c r="C590" s="3"/>
      <c r="D590" s="4" t="str">
        <f aca="false">IF(AND(EXACT(B590,C590),NOT(AND(ISBLANK(B590),ISBLANK(C590)))), "Common", "")</f>
        <v/>
      </c>
    </row>
    <row r="591" customFormat="false" ht="15.75" hidden="false" customHeight="false" outlineLevel="0" collapsed="false">
      <c r="A591" s="4"/>
      <c r="B591" s="3"/>
      <c r="D591" s="4" t="str">
        <f aca="false">IF(AND(EXACT(B591,C591),NOT(AND(ISBLANK(B591),ISBLANK(C591)))), "Common", "")</f>
        <v/>
      </c>
    </row>
    <row r="592" customFormat="false" ht="15.75" hidden="false" customHeight="false" outlineLevel="0" collapsed="false">
      <c r="A592" s="4"/>
      <c r="B592" s="3"/>
      <c r="C592" s="3"/>
      <c r="D592" s="4" t="str">
        <f aca="false">IF(AND(EXACT(B592,C592),NOT(AND(ISBLANK(B592),ISBLANK(C592)))), "Common", "")</f>
        <v/>
      </c>
    </row>
    <row r="593" customFormat="false" ht="15.75" hidden="false" customHeight="false" outlineLevel="0" collapsed="false">
      <c r="A593" s="4"/>
      <c r="B593" s="3"/>
      <c r="D593" s="4" t="str">
        <f aca="false">IF(AND(EXACT(B593,C593),NOT(AND(ISBLANK(B593),ISBLANK(C593)))), "Common", "")</f>
        <v/>
      </c>
    </row>
    <row r="594" customFormat="false" ht="15.75" hidden="false" customHeight="false" outlineLevel="0" collapsed="false">
      <c r="A594" s="4"/>
      <c r="B594" s="3"/>
      <c r="D594" s="4" t="str">
        <f aca="false">IF(AND(EXACT(B594,C594),NOT(AND(ISBLANK(B594),ISBLANK(C594)))), "Common", "")</f>
        <v/>
      </c>
    </row>
    <row r="595" customFormat="false" ht="15.75" hidden="false" customHeight="false" outlineLevel="0" collapsed="false">
      <c r="A595" s="4"/>
      <c r="B595" s="3"/>
      <c r="C595" s="3"/>
      <c r="D595" s="4" t="str">
        <f aca="false">IF(AND(EXACT(B595,C595),NOT(AND(ISBLANK(B595),ISBLANK(C595)))), "Common", "")</f>
        <v/>
      </c>
    </row>
    <row r="596" customFormat="false" ht="15.75" hidden="false" customHeight="false" outlineLevel="0" collapsed="false">
      <c r="A596" s="4"/>
      <c r="B596" s="3"/>
      <c r="C596" s="3"/>
      <c r="D596" s="4" t="str">
        <f aca="false">IF(AND(EXACT(B596,C596),NOT(AND(ISBLANK(B596),ISBLANK(C596)))), "Common", "")</f>
        <v/>
      </c>
    </row>
    <row r="597" customFormat="false" ht="15.75" hidden="false" customHeight="false" outlineLevel="0" collapsed="false">
      <c r="A597" s="4"/>
      <c r="B597" s="3"/>
      <c r="C597" s="3"/>
      <c r="D597" s="4" t="str">
        <f aca="false">IF(AND(EXACT(B597,C597),NOT(AND(ISBLANK(B597),ISBLANK(C597)))), "Common", "")</f>
        <v/>
      </c>
    </row>
    <row r="598" customFormat="false" ht="15.75" hidden="false" customHeight="false" outlineLevel="0" collapsed="false">
      <c r="A598" s="4"/>
      <c r="B598" s="3"/>
      <c r="D598" s="4" t="str">
        <f aca="false">IF(AND(EXACT(B598,C598),NOT(AND(ISBLANK(B598),ISBLANK(C598)))), "Common", "")</f>
        <v/>
      </c>
    </row>
    <row r="599" customFormat="false" ht="15.75" hidden="false" customHeight="false" outlineLevel="0" collapsed="false">
      <c r="A599" s="4"/>
      <c r="B599" s="3"/>
      <c r="C599" s="3"/>
      <c r="D599" s="4" t="str">
        <f aca="false">IF(AND(EXACT(B599,C599),NOT(AND(ISBLANK(B599),ISBLANK(C599)))), "Common", "")</f>
        <v/>
      </c>
    </row>
    <row r="600" customFormat="false" ht="15.75" hidden="false" customHeight="false" outlineLevel="0" collapsed="false">
      <c r="A600" s="4"/>
      <c r="B600" s="3"/>
      <c r="D600" s="4" t="str">
        <f aca="false">IF(AND(EXACT(B600,C600),NOT(AND(ISBLANK(B600),ISBLANK(C600)))), "Common", "")</f>
        <v/>
      </c>
    </row>
    <row r="601" customFormat="false" ht="15.75" hidden="false" customHeight="false" outlineLevel="0" collapsed="false">
      <c r="A601" s="4"/>
      <c r="B601" s="3"/>
      <c r="C601" s="3"/>
      <c r="D601" s="4" t="str">
        <f aca="false">IF(AND(EXACT(B601,C601),NOT(AND(ISBLANK(B601),ISBLANK(C601)))), "Common", "")</f>
        <v/>
      </c>
    </row>
    <row r="602" customFormat="false" ht="15.75" hidden="false" customHeight="false" outlineLevel="0" collapsed="false">
      <c r="A602" s="4"/>
      <c r="B602" s="3"/>
      <c r="C602" s="3"/>
      <c r="D602" s="4" t="str">
        <f aca="false">IF(AND(EXACT(B602,C602),NOT(AND(ISBLANK(B602),ISBLANK(C602)))), "Common", "")</f>
        <v/>
      </c>
    </row>
    <row r="603" customFormat="false" ht="15.75" hidden="false" customHeight="false" outlineLevel="0" collapsed="false">
      <c r="A603" s="4"/>
      <c r="B603" s="3"/>
      <c r="C603" s="3"/>
      <c r="D603" s="4" t="str">
        <f aca="false">IF(AND(EXACT(B603,C603),NOT(AND(ISBLANK(B603),ISBLANK(C603)))), "Common", "")</f>
        <v/>
      </c>
    </row>
    <row r="604" customFormat="false" ht="15.75" hidden="false" customHeight="false" outlineLevel="0" collapsed="false">
      <c r="A604" s="4"/>
      <c r="B604" s="3"/>
      <c r="D604" s="4" t="str">
        <f aca="false">IF(AND(EXACT(B604,C604),NOT(AND(ISBLANK(B604),ISBLANK(C604)))), "Common", "")</f>
        <v/>
      </c>
    </row>
    <row r="605" customFormat="false" ht="15.75" hidden="false" customHeight="false" outlineLevel="0" collapsed="false">
      <c r="A605" s="4"/>
      <c r="B605" s="3"/>
      <c r="D605" s="4" t="str">
        <f aca="false">IF(AND(EXACT(B605,C605),NOT(AND(ISBLANK(B605),ISBLANK(C605)))), "Common", "")</f>
        <v/>
      </c>
    </row>
    <row r="606" customFormat="false" ht="15.75" hidden="false" customHeight="false" outlineLevel="0" collapsed="false">
      <c r="A606" s="4"/>
      <c r="B606" s="3"/>
      <c r="D606" s="4" t="str">
        <f aca="false">IF(AND(EXACT(B606,C606),NOT(AND(ISBLANK(B606),ISBLANK(C606)))), "Common", "")</f>
        <v/>
      </c>
    </row>
    <row r="607" customFormat="false" ht="15.75" hidden="false" customHeight="false" outlineLevel="0" collapsed="false">
      <c r="A607" s="4"/>
      <c r="B607" s="3"/>
      <c r="C607" s="3"/>
      <c r="D607" s="4" t="str">
        <f aca="false">IF(AND(EXACT(B607,C607),NOT(AND(ISBLANK(B607),ISBLANK(C607)))), "Common", "")</f>
        <v/>
      </c>
    </row>
    <row r="608" customFormat="false" ht="15.75" hidden="false" customHeight="false" outlineLevel="0" collapsed="false">
      <c r="A608" s="4"/>
      <c r="B608" s="3"/>
      <c r="D608" s="4" t="str">
        <f aca="false">IF(AND(EXACT(B608,C608),NOT(AND(ISBLANK(B608),ISBLANK(C608)))), "Common", "")</f>
        <v/>
      </c>
    </row>
    <row r="609" customFormat="false" ht="15.75" hidden="false" customHeight="false" outlineLevel="0" collapsed="false">
      <c r="A609" s="4"/>
      <c r="B609" s="3"/>
      <c r="C609" s="3"/>
      <c r="D609" s="4" t="str">
        <f aca="false">IF(AND(EXACT(B609,C609),NOT(AND(ISBLANK(B609),ISBLANK(C609)))), "Common", "")</f>
        <v/>
      </c>
    </row>
    <row r="610" customFormat="false" ht="15.75" hidden="false" customHeight="false" outlineLevel="0" collapsed="false">
      <c r="A610" s="4"/>
      <c r="B610" s="3"/>
      <c r="C610" s="3"/>
      <c r="D610" s="4" t="str">
        <f aca="false">IF(AND(EXACT(B610,C610),NOT(AND(ISBLANK(B610),ISBLANK(C610)))), "Common", "")</f>
        <v/>
      </c>
    </row>
    <row r="611" customFormat="false" ht="15.75" hidden="false" customHeight="false" outlineLevel="0" collapsed="false">
      <c r="A611" s="4"/>
      <c r="B611" s="3"/>
      <c r="C611" s="3"/>
      <c r="D611" s="4" t="str">
        <f aca="false">IF(AND(EXACT(B611,C611),NOT(AND(ISBLANK(B611),ISBLANK(C611)))), "Common", "")</f>
        <v/>
      </c>
    </row>
    <row r="612" customFormat="false" ht="15.75" hidden="false" customHeight="false" outlineLevel="0" collapsed="false">
      <c r="A612" s="4"/>
      <c r="B612" s="3"/>
      <c r="C612" s="3"/>
      <c r="D612" s="4" t="str">
        <f aca="false">IF(AND(EXACT(B612,C612),NOT(AND(ISBLANK(B612),ISBLANK(C612)))), "Common", "")</f>
        <v/>
      </c>
    </row>
    <row r="613" customFormat="false" ht="15.75" hidden="false" customHeight="false" outlineLevel="0" collapsed="false">
      <c r="A613" s="4"/>
      <c r="B613" s="3"/>
      <c r="C613" s="3"/>
      <c r="D613" s="4" t="str">
        <f aca="false">IF(AND(EXACT(B613,C613),NOT(AND(ISBLANK(B613),ISBLANK(C613)))), "Common", "")</f>
        <v/>
      </c>
    </row>
    <row r="614" customFormat="false" ht="15.75" hidden="false" customHeight="false" outlineLevel="0" collapsed="false">
      <c r="A614" s="4"/>
      <c r="B614" s="3"/>
      <c r="C614" s="3"/>
      <c r="D614" s="4" t="str">
        <f aca="false">IF(AND(EXACT(B614,C614),NOT(AND(ISBLANK(B614),ISBLANK(C614)))), "Common", "")</f>
        <v/>
      </c>
    </row>
    <row r="615" customFormat="false" ht="15.75" hidden="false" customHeight="false" outlineLevel="0" collapsed="false">
      <c r="A615" s="4"/>
      <c r="B615" s="3"/>
      <c r="C615" s="3"/>
      <c r="D615" s="4" t="str">
        <f aca="false">IF(AND(EXACT(B615,C615),NOT(AND(ISBLANK(B615),ISBLANK(C615)))), "Common", "")</f>
        <v/>
      </c>
    </row>
    <row r="616" customFormat="false" ht="15.75" hidden="false" customHeight="false" outlineLevel="0" collapsed="false">
      <c r="A616" s="4"/>
      <c r="B616" s="3"/>
      <c r="C616" s="3"/>
      <c r="D616" s="4" t="str">
        <f aca="false">IF(AND(EXACT(B616,C616),NOT(AND(ISBLANK(B616),ISBLANK(C616)))), "Common", "")</f>
        <v/>
      </c>
    </row>
    <row r="617" customFormat="false" ht="15.75" hidden="false" customHeight="false" outlineLevel="0" collapsed="false">
      <c r="A617" s="4"/>
      <c r="B617" s="3"/>
      <c r="C617" s="3"/>
      <c r="D617" s="4" t="str">
        <f aca="false">IF(AND(EXACT(B617,C617),NOT(AND(ISBLANK(B617),ISBLANK(C617)))), "Common", "")</f>
        <v/>
      </c>
    </row>
    <row r="618" customFormat="false" ht="15.75" hidden="false" customHeight="false" outlineLevel="0" collapsed="false">
      <c r="A618" s="4"/>
      <c r="B618" s="3"/>
      <c r="C618" s="3"/>
      <c r="D618" s="4" t="str">
        <f aca="false">IF(AND(EXACT(B618,C618),NOT(AND(ISBLANK(B618),ISBLANK(C618)))), "Common", "")</f>
        <v/>
      </c>
    </row>
    <row r="619" customFormat="false" ht="15.75" hidden="false" customHeight="false" outlineLevel="0" collapsed="false">
      <c r="A619" s="4"/>
      <c r="B619" s="3"/>
      <c r="C619" s="3"/>
      <c r="D619" s="4" t="str">
        <f aca="false">IF(AND(EXACT(B619,C619),NOT(AND(ISBLANK(B619),ISBLANK(C619)))), "Common", "")</f>
        <v/>
      </c>
    </row>
    <row r="620" customFormat="false" ht="15.75" hidden="false" customHeight="false" outlineLevel="0" collapsed="false">
      <c r="A620" s="4"/>
      <c r="B620" s="3"/>
      <c r="C620" s="3"/>
      <c r="D620" s="4" t="str">
        <f aca="false">IF(AND(EXACT(B620,C620),NOT(AND(ISBLANK(B620),ISBLANK(C620)))), "Common", "")</f>
        <v/>
      </c>
    </row>
    <row r="621" customFormat="false" ht="15.75" hidden="false" customHeight="false" outlineLevel="0" collapsed="false">
      <c r="A621" s="4"/>
      <c r="B621" s="3"/>
      <c r="C621" s="3"/>
      <c r="D621" s="4" t="str">
        <f aca="false">IF(AND(EXACT(B621,C621),NOT(AND(ISBLANK(B621),ISBLANK(C621)))), "Common", "")</f>
        <v/>
      </c>
    </row>
    <row r="622" customFormat="false" ht="15.75" hidden="false" customHeight="false" outlineLevel="0" collapsed="false">
      <c r="A622" s="4"/>
      <c r="B622" s="3"/>
      <c r="C622" s="3"/>
      <c r="D622" s="4" t="str">
        <f aca="false">IF(AND(EXACT(B622,C622),NOT(AND(ISBLANK(B622),ISBLANK(C622)))), "Common", "")</f>
        <v/>
      </c>
    </row>
    <row r="623" customFormat="false" ht="15.75" hidden="false" customHeight="false" outlineLevel="0" collapsed="false">
      <c r="A623" s="4"/>
      <c r="B623" s="3"/>
      <c r="C623" s="3"/>
      <c r="D623" s="4" t="str">
        <f aca="false">IF(AND(EXACT(B623,C623),NOT(AND(ISBLANK(B623),ISBLANK(C623)))), "Common", "")</f>
        <v/>
      </c>
    </row>
    <row r="624" customFormat="false" ht="15.75" hidden="false" customHeight="false" outlineLevel="0" collapsed="false">
      <c r="A624" s="4"/>
      <c r="B624" s="3"/>
      <c r="C624" s="3"/>
      <c r="D624" s="4" t="str">
        <f aca="false">IF(AND(EXACT(B624,C624),NOT(AND(ISBLANK(B624),ISBLANK(C624)))), "Common", "")</f>
        <v/>
      </c>
    </row>
    <row r="625" customFormat="false" ht="15.75" hidden="false" customHeight="false" outlineLevel="0" collapsed="false">
      <c r="A625" s="4"/>
      <c r="B625" s="3"/>
      <c r="C625" s="3"/>
      <c r="D625" s="4" t="str">
        <f aca="false">IF(AND(EXACT(B625,C625),NOT(AND(ISBLANK(B625),ISBLANK(C625)))), "Common", "")</f>
        <v/>
      </c>
    </row>
    <row r="626" customFormat="false" ht="15.75" hidden="false" customHeight="false" outlineLevel="0" collapsed="false">
      <c r="A626" s="4"/>
      <c r="B626" s="3"/>
      <c r="C626" s="3"/>
      <c r="D626" s="4" t="str">
        <f aca="false">IF(AND(EXACT(B626,C626),NOT(AND(ISBLANK(B626),ISBLANK(C626)))), "Common", "")</f>
        <v/>
      </c>
    </row>
    <row r="627" customFormat="false" ht="15.75" hidden="false" customHeight="false" outlineLevel="0" collapsed="false">
      <c r="A627" s="4"/>
      <c r="B627" s="3"/>
      <c r="C627" s="3"/>
      <c r="D627" s="4" t="str">
        <f aca="false">IF(AND(EXACT(B627,C627),NOT(AND(ISBLANK(B627),ISBLANK(C627)))), "Common", "")</f>
        <v/>
      </c>
    </row>
    <row r="628" customFormat="false" ht="15.75" hidden="false" customHeight="false" outlineLevel="0" collapsed="false">
      <c r="A628" s="4"/>
      <c r="B628" s="3"/>
      <c r="C628" s="3"/>
      <c r="D628" s="4" t="str">
        <f aca="false">IF(AND(EXACT(B628,C628),NOT(AND(ISBLANK(B628),ISBLANK(C628)))), "Common", "")</f>
        <v/>
      </c>
    </row>
    <row r="629" customFormat="false" ht="15.75" hidden="false" customHeight="false" outlineLevel="0" collapsed="false">
      <c r="A629" s="4"/>
      <c r="B629" s="3"/>
      <c r="C629" s="3"/>
      <c r="D629" s="4" t="str">
        <f aca="false">IF(AND(EXACT(B629,C629),NOT(AND(ISBLANK(B629),ISBLANK(C629)))), "Common", "")</f>
        <v/>
      </c>
    </row>
    <row r="630" customFormat="false" ht="15.75" hidden="false" customHeight="false" outlineLevel="0" collapsed="false">
      <c r="A630" s="4"/>
      <c r="B630" s="3"/>
      <c r="C630" s="3"/>
      <c r="D630" s="4" t="str">
        <f aca="false">IF(AND(EXACT(B630,C630),NOT(AND(ISBLANK(B630),ISBLANK(C630)))), "Common", "")</f>
        <v/>
      </c>
    </row>
    <row r="631" customFormat="false" ht="15.75" hidden="false" customHeight="false" outlineLevel="0" collapsed="false">
      <c r="A631" s="4"/>
      <c r="B631" s="3"/>
      <c r="C631" s="3"/>
      <c r="D631" s="4" t="str">
        <f aca="false">IF(AND(EXACT(B631,C631),NOT(AND(ISBLANK(B631),ISBLANK(C631)))), "Common", "")</f>
        <v/>
      </c>
    </row>
    <row r="632" customFormat="false" ht="15.75" hidden="false" customHeight="false" outlineLevel="0" collapsed="false">
      <c r="A632" s="4"/>
      <c r="B632" s="3"/>
      <c r="C632" s="3"/>
      <c r="D632" s="4" t="str">
        <f aca="false">IF(AND(EXACT(B632,C632),NOT(AND(ISBLANK(B632),ISBLANK(C632)))), "Common", "")</f>
        <v/>
      </c>
    </row>
    <row r="633" customFormat="false" ht="15.75" hidden="false" customHeight="false" outlineLevel="0" collapsed="false">
      <c r="A633" s="4"/>
      <c r="B633" s="3"/>
      <c r="C633" s="3"/>
      <c r="D633" s="4" t="str">
        <f aca="false">IF(AND(EXACT(B633,C633),NOT(AND(ISBLANK(B633),ISBLANK(C633)))), "Common", "")</f>
        <v/>
      </c>
    </row>
    <row r="634" customFormat="false" ht="15.75" hidden="false" customHeight="false" outlineLevel="0" collapsed="false">
      <c r="A634" s="4"/>
      <c r="B634" s="3"/>
      <c r="C634" s="3"/>
      <c r="D634" s="4" t="str">
        <f aca="false">IF(AND(EXACT(B634,C634),NOT(AND(ISBLANK(B634),ISBLANK(C634)))), "Common", "")</f>
        <v/>
      </c>
    </row>
    <row r="635" customFormat="false" ht="15.75" hidden="false" customHeight="false" outlineLevel="0" collapsed="false">
      <c r="A635" s="4"/>
      <c r="B635" s="3"/>
      <c r="C635" s="3"/>
      <c r="D635" s="4" t="str">
        <f aca="false">IF(AND(EXACT(B635,C635),NOT(AND(ISBLANK(B635),ISBLANK(C635)))), "Common", "")</f>
        <v/>
      </c>
    </row>
    <row r="636" customFormat="false" ht="15.75" hidden="false" customHeight="false" outlineLevel="0" collapsed="false">
      <c r="A636" s="4"/>
      <c r="B636" s="3"/>
      <c r="C636" s="3"/>
      <c r="D636" s="4" t="str">
        <f aca="false">IF(AND(EXACT(B636,C636),NOT(AND(ISBLANK(B636),ISBLANK(C636)))), "Common", "")</f>
        <v/>
      </c>
    </row>
    <row r="637" customFormat="false" ht="15.75" hidden="false" customHeight="false" outlineLevel="0" collapsed="false">
      <c r="A637" s="4"/>
      <c r="B637" s="3"/>
      <c r="C637" s="3"/>
      <c r="D637" s="4" t="str">
        <f aca="false">IF(AND(EXACT(B637,C637),NOT(AND(ISBLANK(B637),ISBLANK(C637)))), "Common", "")</f>
        <v/>
      </c>
    </row>
    <row r="638" customFormat="false" ht="15.75" hidden="false" customHeight="false" outlineLevel="0" collapsed="false">
      <c r="A638" s="4"/>
      <c r="B638" s="3"/>
      <c r="C638" s="3"/>
      <c r="D638" s="4" t="str">
        <f aca="false">IF(AND(EXACT(B638,C638),NOT(AND(ISBLANK(B638),ISBLANK(C638)))), "Common", "")</f>
        <v/>
      </c>
    </row>
    <row r="639" customFormat="false" ht="15.75" hidden="false" customHeight="false" outlineLevel="0" collapsed="false">
      <c r="A639" s="4"/>
      <c r="B639" s="3"/>
      <c r="C639" s="3"/>
      <c r="D639" s="4" t="str">
        <f aca="false">IF(AND(EXACT(B639,C639),NOT(AND(ISBLANK(B639),ISBLANK(C639)))), "Common", "")</f>
        <v/>
      </c>
    </row>
    <row r="640" customFormat="false" ht="15.75" hidden="false" customHeight="false" outlineLevel="0" collapsed="false">
      <c r="A640" s="4"/>
      <c r="B640" s="3"/>
      <c r="C640" s="3"/>
      <c r="D640" s="4" t="str">
        <f aca="false">IF(AND(EXACT(B640,C640),NOT(AND(ISBLANK(B640),ISBLANK(C640)))), "Common", "")</f>
        <v/>
      </c>
    </row>
    <row r="641" customFormat="false" ht="15.75" hidden="false" customHeight="false" outlineLevel="0" collapsed="false">
      <c r="A641" s="4"/>
      <c r="B641" s="3"/>
      <c r="C641" s="3"/>
      <c r="D641" s="4" t="str">
        <f aca="false">IF(AND(EXACT(B641,C641),NOT(AND(ISBLANK(B641),ISBLANK(C641)))), "Common", "")</f>
        <v/>
      </c>
    </row>
    <row r="642" customFormat="false" ht="15.75" hidden="false" customHeight="false" outlineLevel="0" collapsed="false">
      <c r="A642" s="4"/>
      <c r="B642" s="3"/>
      <c r="C642" s="3"/>
      <c r="D642" s="4" t="str">
        <f aca="false">IF(AND(EXACT(B642,C642),NOT(AND(ISBLANK(B642),ISBLANK(C642)))), "Common", "")</f>
        <v/>
      </c>
    </row>
    <row r="643" customFormat="false" ht="15.75" hidden="false" customHeight="false" outlineLevel="0" collapsed="false">
      <c r="A643" s="4"/>
      <c r="B643" s="3"/>
      <c r="C643" s="3"/>
      <c r="D643" s="4" t="str">
        <f aca="false">IF(AND(EXACT(B643,C643),NOT(AND(ISBLANK(B643),ISBLANK(C643)))), "Common", "")</f>
        <v/>
      </c>
    </row>
    <row r="644" customFormat="false" ht="15.75" hidden="false" customHeight="false" outlineLevel="0" collapsed="false">
      <c r="A644" s="4"/>
      <c r="B644" s="3"/>
      <c r="C644" s="3"/>
      <c r="D644" s="4" t="str">
        <f aca="false">IF(AND(EXACT(B644,C644),NOT(AND(ISBLANK(B644),ISBLANK(C644)))), "Common", "")</f>
        <v/>
      </c>
    </row>
    <row r="645" customFormat="false" ht="15.75" hidden="false" customHeight="false" outlineLevel="0" collapsed="false">
      <c r="A645" s="4"/>
      <c r="B645" s="3"/>
      <c r="C645" s="3"/>
      <c r="D645" s="4" t="str">
        <f aca="false">IF(AND(EXACT(B645,C645),NOT(AND(ISBLANK(B645),ISBLANK(C645)))), "Common", "")</f>
        <v/>
      </c>
    </row>
    <row r="646" customFormat="false" ht="15.75" hidden="false" customHeight="false" outlineLevel="0" collapsed="false">
      <c r="A646" s="4"/>
      <c r="B646" s="3"/>
      <c r="C646" s="3"/>
      <c r="D646" s="4" t="str">
        <f aca="false">IF(AND(EXACT(B646,C646),NOT(AND(ISBLANK(B646),ISBLANK(C646)))), "Common", "")</f>
        <v/>
      </c>
    </row>
    <row r="647" customFormat="false" ht="15.75" hidden="false" customHeight="false" outlineLevel="0" collapsed="false">
      <c r="A647" s="4"/>
      <c r="B647" s="3"/>
      <c r="C647" s="3"/>
      <c r="D647" s="4" t="str">
        <f aca="false">IF(AND(EXACT(B647,C647),NOT(AND(ISBLANK(B647),ISBLANK(C647)))), "Common", "")</f>
        <v/>
      </c>
    </row>
    <row r="648" customFormat="false" ht="15.75" hidden="false" customHeight="false" outlineLevel="0" collapsed="false">
      <c r="A648" s="4"/>
      <c r="B648" s="3"/>
      <c r="C648" s="3"/>
      <c r="D648" s="4" t="str">
        <f aca="false">IF(AND(EXACT(B648,C648),NOT(AND(ISBLANK(B648),ISBLANK(C648)))), "Common", "")</f>
        <v/>
      </c>
    </row>
    <row r="649" customFormat="false" ht="15.75" hidden="false" customHeight="false" outlineLevel="0" collapsed="false">
      <c r="A649" s="4"/>
      <c r="B649" s="3"/>
      <c r="C649" s="3"/>
      <c r="D649" s="4" t="str">
        <f aca="false">IF(AND(EXACT(B649,C649),NOT(AND(ISBLANK(B649),ISBLANK(C649)))), "Common", "")</f>
        <v/>
      </c>
    </row>
    <row r="650" customFormat="false" ht="15.75" hidden="false" customHeight="false" outlineLevel="0" collapsed="false">
      <c r="A650" s="4"/>
      <c r="B650" s="3"/>
      <c r="C650" s="3"/>
      <c r="D650" s="4" t="str">
        <f aca="false">IF(AND(EXACT(B650,C650),NOT(AND(ISBLANK(B650),ISBLANK(C650)))), "Common", "")</f>
        <v/>
      </c>
    </row>
    <row r="651" customFormat="false" ht="15.75" hidden="false" customHeight="false" outlineLevel="0" collapsed="false">
      <c r="A651" s="4"/>
      <c r="B651" s="3"/>
      <c r="C651" s="3"/>
      <c r="D651" s="4" t="str">
        <f aca="false">IF(AND(EXACT(B651,C651),NOT(AND(ISBLANK(B651),ISBLANK(C651)))), "Common", "")</f>
        <v/>
      </c>
    </row>
    <row r="652" customFormat="false" ht="15.75" hidden="false" customHeight="false" outlineLevel="0" collapsed="false">
      <c r="A652" s="4"/>
      <c r="B652" s="3"/>
      <c r="C652" s="3"/>
      <c r="D652" s="4" t="str">
        <f aca="false">IF(AND(EXACT(B652,C652),NOT(AND(ISBLANK(B652),ISBLANK(C652)))), "Common", "")</f>
        <v/>
      </c>
    </row>
    <row r="653" customFormat="false" ht="15.75" hidden="false" customHeight="false" outlineLevel="0" collapsed="false">
      <c r="A653" s="4"/>
      <c r="B653" s="3"/>
      <c r="C653" s="3"/>
      <c r="D653" s="4" t="str">
        <f aca="false">IF(AND(EXACT(B653,C653),NOT(AND(ISBLANK(B653),ISBLANK(C653)))), "Common", "")</f>
        <v/>
      </c>
    </row>
    <row r="654" customFormat="false" ht="15.75" hidden="false" customHeight="false" outlineLevel="0" collapsed="false">
      <c r="A654" s="4"/>
      <c r="B654" s="3"/>
      <c r="C654" s="3"/>
      <c r="D654" s="4" t="str">
        <f aca="false">IF(AND(EXACT(B654,C654),NOT(AND(ISBLANK(B654),ISBLANK(C654)))), "Common", "")</f>
        <v/>
      </c>
    </row>
    <row r="655" customFormat="false" ht="15.75" hidden="false" customHeight="false" outlineLevel="0" collapsed="false">
      <c r="A655" s="4"/>
      <c r="B655" s="3"/>
      <c r="C655" s="3"/>
      <c r="D655" s="4" t="str">
        <f aca="false">IF(AND(EXACT(B655,C655),NOT(AND(ISBLANK(B655),ISBLANK(C655)))), "Common", "")</f>
        <v/>
      </c>
    </row>
    <row r="656" customFormat="false" ht="15.75" hidden="false" customHeight="false" outlineLevel="0" collapsed="false">
      <c r="A656" s="4"/>
      <c r="B656" s="3"/>
      <c r="C656" s="3"/>
      <c r="D656" s="4" t="str">
        <f aca="false">IF(AND(EXACT(B656,C656),NOT(AND(ISBLANK(B656),ISBLANK(C656)))), "Common", "")</f>
        <v/>
      </c>
    </row>
    <row r="657" customFormat="false" ht="15.75" hidden="false" customHeight="false" outlineLevel="0" collapsed="false">
      <c r="A657" s="4"/>
      <c r="B657" s="3"/>
      <c r="C657" s="3"/>
      <c r="D657" s="4" t="str">
        <f aca="false">IF(AND(EXACT(B657,C657),NOT(AND(ISBLANK(B657),ISBLANK(C657)))), "Common", "")</f>
        <v/>
      </c>
    </row>
    <row r="658" customFormat="false" ht="15.75" hidden="false" customHeight="false" outlineLevel="0" collapsed="false">
      <c r="A658" s="4"/>
      <c r="B658" s="3"/>
      <c r="C658" s="3"/>
      <c r="D658" s="4" t="str">
        <f aca="false">IF(AND(EXACT(B658,C658),NOT(AND(ISBLANK(B658),ISBLANK(C658)))), "Common", "")</f>
        <v/>
      </c>
    </row>
    <row r="659" customFormat="false" ht="15.75" hidden="false" customHeight="false" outlineLevel="0" collapsed="false">
      <c r="A659" s="4"/>
      <c r="B659" s="3"/>
      <c r="C659" s="3"/>
      <c r="D659" s="4" t="str">
        <f aca="false">IF(AND(EXACT(B659,C659),NOT(AND(ISBLANK(B659),ISBLANK(C659)))), "Common", "")</f>
        <v/>
      </c>
    </row>
    <row r="660" customFormat="false" ht="15.75" hidden="false" customHeight="false" outlineLevel="0" collapsed="false">
      <c r="A660" s="4"/>
      <c r="B660" s="3"/>
      <c r="C660" s="3"/>
      <c r="D660" s="4" t="str">
        <f aca="false">IF(AND(EXACT(B660,C660),NOT(AND(ISBLANK(B660),ISBLANK(C660)))), "Common", "")</f>
        <v/>
      </c>
    </row>
    <row r="661" customFormat="false" ht="15.75" hidden="false" customHeight="false" outlineLevel="0" collapsed="false">
      <c r="A661" s="4"/>
      <c r="B661" s="3"/>
      <c r="C661" s="3"/>
      <c r="D661" s="4" t="str">
        <f aca="false">IF(AND(EXACT(B661,C661),NOT(AND(ISBLANK(B661),ISBLANK(C661)))), "Common", "")</f>
        <v/>
      </c>
    </row>
    <row r="662" customFormat="false" ht="15.75" hidden="false" customHeight="false" outlineLevel="0" collapsed="false">
      <c r="A662" s="4"/>
      <c r="B662" s="3"/>
      <c r="C662" s="3"/>
      <c r="D662" s="4" t="str">
        <f aca="false">IF(AND(EXACT(B662,C662),NOT(AND(ISBLANK(B662),ISBLANK(C662)))), "Common", "")</f>
        <v/>
      </c>
    </row>
    <row r="663" customFormat="false" ht="15.75" hidden="false" customHeight="false" outlineLevel="0" collapsed="false">
      <c r="A663" s="4"/>
      <c r="B663" s="3"/>
      <c r="C663" s="3"/>
      <c r="D663" s="4" t="str">
        <f aca="false">IF(AND(EXACT(B663,C663),NOT(AND(ISBLANK(B663),ISBLANK(C663)))), "Common", "")</f>
        <v/>
      </c>
    </row>
    <row r="664" customFormat="false" ht="15.75" hidden="false" customHeight="false" outlineLevel="0" collapsed="false">
      <c r="A664" s="4"/>
      <c r="B664" s="3"/>
      <c r="C664" s="3"/>
      <c r="D664" s="4" t="str">
        <f aca="false">IF(AND(EXACT(B664,C664),NOT(AND(ISBLANK(B664),ISBLANK(C664)))), "Common", "")</f>
        <v/>
      </c>
    </row>
    <row r="665" customFormat="false" ht="15.75" hidden="false" customHeight="false" outlineLevel="0" collapsed="false">
      <c r="A665" s="4"/>
      <c r="B665" s="3"/>
      <c r="C665" s="3"/>
      <c r="D665" s="4" t="str">
        <f aca="false">IF(AND(EXACT(B665,C665),NOT(AND(ISBLANK(B665),ISBLANK(C665)))), "Common", "")</f>
        <v/>
      </c>
    </row>
    <row r="666" customFormat="false" ht="15.75" hidden="false" customHeight="false" outlineLevel="0" collapsed="false">
      <c r="A666" s="4"/>
      <c r="B666" s="3"/>
      <c r="C666" s="3"/>
      <c r="D666" s="4" t="str">
        <f aca="false">IF(AND(EXACT(B666,C666),NOT(AND(ISBLANK(B666),ISBLANK(C666)))), "Common", "")</f>
        <v/>
      </c>
    </row>
    <row r="667" customFormat="false" ht="15.75" hidden="false" customHeight="false" outlineLevel="0" collapsed="false">
      <c r="A667" s="4"/>
      <c r="B667" s="3"/>
      <c r="C667" s="3"/>
      <c r="D667" s="4" t="str">
        <f aca="false">IF(AND(EXACT(B667,C667),NOT(AND(ISBLANK(B667),ISBLANK(C667)))), "Common", "")</f>
        <v/>
      </c>
    </row>
    <row r="668" customFormat="false" ht="15.75" hidden="false" customHeight="false" outlineLevel="0" collapsed="false">
      <c r="A668" s="4"/>
      <c r="B668" s="3"/>
      <c r="C668" s="3"/>
      <c r="D668" s="4" t="str">
        <f aca="false">IF(AND(EXACT(B668,C668),NOT(AND(ISBLANK(B668),ISBLANK(C668)))), "Common", "")</f>
        <v/>
      </c>
    </row>
    <row r="669" customFormat="false" ht="15.75" hidden="false" customHeight="false" outlineLevel="0" collapsed="false">
      <c r="A669" s="4"/>
      <c r="B669" s="3"/>
      <c r="C669" s="3"/>
      <c r="D669" s="4" t="str">
        <f aca="false">IF(AND(EXACT(B669,C669),NOT(AND(ISBLANK(B669),ISBLANK(C669)))), "Common", "")</f>
        <v/>
      </c>
    </row>
    <row r="670" customFormat="false" ht="15.75" hidden="false" customHeight="false" outlineLevel="0" collapsed="false">
      <c r="A670" s="4"/>
      <c r="B670" s="3"/>
      <c r="C670" s="3"/>
      <c r="D670" s="4" t="str">
        <f aca="false">IF(AND(EXACT(B670,C670),NOT(AND(ISBLANK(B670),ISBLANK(C670)))), "Common", "")</f>
        <v/>
      </c>
    </row>
    <row r="671" customFormat="false" ht="15.75" hidden="false" customHeight="false" outlineLevel="0" collapsed="false">
      <c r="A671" s="4"/>
      <c r="B671" s="3"/>
      <c r="C671" s="3"/>
      <c r="D671" s="4" t="str">
        <f aca="false">IF(AND(EXACT(B671,C671),NOT(AND(ISBLANK(B671),ISBLANK(C671)))), "Common", "")</f>
        <v/>
      </c>
    </row>
    <row r="672" customFormat="false" ht="15.75" hidden="false" customHeight="false" outlineLevel="0" collapsed="false">
      <c r="A672" s="4"/>
      <c r="B672" s="3"/>
      <c r="C672" s="3"/>
      <c r="D672" s="4" t="str">
        <f aca="false">IF(AND(EXACT(B672,C672),NOT(AND(ISBLANK(B672),ISBLANK(C672)))), "Common", "")</f>
        <v/>
      </c>
    </row>
    <row r="673" customFormat="false" ht="15.75" hidden="false" customHeight="false" outlineLevel="0" collapsed="false">
      <c r="A673" s="4"/>
      <c r="B673" s="3"/>
      <c r="C673" s="3"/>
      <c r="D673" s="4" t="str">
        <f aca="false">IF(AND(EXACT(B673,C673),NOT(AND(ISBLANK(B673),ISBLANK(C673)))), "Common", "")</f>
        <v/>
      </c>
    </row>
    <row r="674" customFormat="false" ht="15.75" hidden="false" customHeight="false" outlineLevel="0" collapsed="false">
      <c r="A674" s="4"/>
      <c r="B674" s="3"/>
      <c r="C674" s="3"/>
      <c r="D674" s="4" t="str">
        <f aca="false">IF(AND(EXACT(B674,C674),NOT(AND(ISBLANK(B674),ISBLANK(C674)))), "Common", "")</f>
        <v/>
      </c>
    </row>
    <row r="675" customFormat="false" ht="15.75" hidden="false" customHeight="false" outlineLevel="0" collapsed="false">
      <c r="A675" s="4"/>
      <c r="B675" s="3"/>
      <c r="C675" s="3"/>
      <c r="D675" s="4" t="str">
        <f aca="false">IF(AND(EXACT(B675,C675),NOT(AND(ISBLANK(B675),ISBLANK(C675)))), "Common", "")</f>
        <v/>
      </c>
    </row>
    <row r="676" customFormat="false" ht="15.75" hidden="false" customHeight="false" outlineLevel="0" collapsed="false">
      <c r="A676" s="4"/>
      <c r="B676" s="3"/>
      <c r="C676" s="3"/>
      <c r="D676" s="4" t="str">
        <f aca="false">IF(AND(EXACT(B676,C676),NOT(AND(ISBLANK(B676),ISBLANK(C676)))), "Common", "")</f>
        <v/>
      </c>
    </row>
    <row r="677" customFormat="false" ht="15.75" hidden="false" customHeight="false" outlineLevel="0" collapsed="false">
      <c r="A677" s="4"/>
      <c r="B677" s="3"/>
      <c r="C677" s="3"/>
      <c r="D677" s="4" t="str">
        <f aca="false">IF(AND(EXACT(B677,C677),NOT(AND(ISBLANK(B677),ISBLANK(C677)))), "Common", "")</f>
        <v/>
      </c>
    </row>
    <row r="678" customFormat="false" ht="15.75" hidden="false" customHeight="false" outlineLevel="0" collapsed="false">
      <c r="A678" s="4"/>
      <c r="B678" s="3"/>
      <c r="C678" s="3"/>
      <c r="D678" s="4" t="str">
        <f aca="false">IF(AND(EXACT(B678,C678),NOT(AND(ISBLANK(B678),ISBLANK(C678)))), "Common", "")</f>
        <v/>
      </c>
    </row>
    <row r="679" customFormat="false" ht="15.75" hidden="false" customHeight="false" outlineLevel="0" collapsed="false">
      <c r="A679" s="4"/>
      <c r="B679" s="3"/>
      <c r="C679" s="3"/>
      <c r="D679" s="4" t="str">
        <f aca="false">IF(AND(EXACT(B679,C679),NOT(AND(ISBLANK(B679),ISBLANK(C679)))), "Common", "")</f>
        <v/>
      </c>
    </row>
    <row r="680" customFormat="false" ht="15.75" hidden="false" customHeight="false" outlineLevel="0" collapsed="false">
      <c r="A680" s="4"/>
      <c r="B680" s="3"/>
      <c r="C680" s="3"/>
      <c r="D680" s="4" t="str">
        <f aca="false">IF(AND(EXACT(B680,C680),NOT(AND(ISBLANK(B680),ISBLANK(C680)))), "Common", "")</f>
        <v/>
      </c>
    </row>
    <row r="681" customFormat="false" ht="15.75" hidden="false" customHeight="false" outlineLevel="0" collapsed="false">
      <c r="A681" s="4"/>
      <c r="B681" s="3"/>
      <c r="C681" s="3"/>
      <c r="D681" s="4" t="str">
        <f aca="false">IF(AND(EXACT(B681,C681),NOT(AND(ISBLANK(B681),ISBLANK(C681)))), "Common", "")</f>
        <v/>
      </c>
    </row>
    <row r="682" customFormat="false" ht="15.75" hidden="false" customHeight="false" outlineLevel="0" collapsed="false">
      <c r="A682" s="4"/>
      <c r="B682" s="3"/>
      <c r="C682" s="3"/>
      <c r="D682" s="4" t="str">
        <f aca="false">IF(AND(EXACT(B682,C682),NOT(AND(ISBLANK(B682),ISBLANK(C682)))), "Common", "")</f>
        <v/>
      </c>
    </row>
    <row r="683" customFormat="false" ht="15.75" hidden="false" customHeight="false" outlineLevel="0" collapsed="false">
      <c r="A683" s="4"/>
      <c r="B683" s="3"/>
      <c r="C683" s="3"/>
      <c r="D683" s="4" t="str">
        <f aca="false">IF(AND(EXACT(B683,C683),NOT(AND(ISBLANK(B683),ISBLANK(C683)))), "Common", "")</f>
        <v/>
      </c>
    </row>
    <row r="684" customFormat="false" ht="15.75" hidden="false" customHeight="false" outlineLevel="0" collapsed="false">
      <c r="A684" s="4"/>
      <c r="B684" s="3"/>
      <c r="C684" s="3"/>
      <c r="D684" s="4" t="str">
        <f aca="false">IF(AND(EXACT(B684,C684),NOT(AND(ISBLANK(B684),ISBLANK(C684)))), "Common", "")</f>
        <v/>
      </c>
    </row>
    <row r="685" customFormat="false" ht="15.75" hidden="false" customHeight="false" outlineLevel="0" collapsed="false">
      <c r="A685" s="4"/>
      <c r="B685" s="3"/>
      <c r="C685" s="3"/>
      <c r="D685" s="4" t="str">
        <f aca="false">IF(AND(EXACT(B685,C685),NOT(AND(ISBLANK(B685),ISBLANK(C685)))), "Common", "")</f>
        <v/>
      </c>
    </row>
    <row r="686" customFormat="false" ht="15.75" hidden="false" customHeight="false" outlineLevel="0" collapsed="false">
      <c r="A686" s="4"/>
      <c r="B686" s="3"/>
      <c r="C686" s="3"/>
      <c r="D686" s="4" t="str">
        <f aca="false">IF(AND(EXACT(B686,C686),NOT(AND(ISBLANK(B686),ISBLANK(C686)))), "Common", "")</f>
        <v/>
      </c>
    </row>
    <row r="687" customFormat="false" ht="15.75" hidden="false" customHeight="false" outlineLevel="0" collapsed="false">
      <c r="A687" s="4"/>
      <c r="B687" s="3"/>
      <c r="C687" s="3"/>
      <c r="D687" s="4" t="str">
        <f aca="false">IF(AND(EXACT(B687,C687),NOT(AND(ISBLANK(B687),ISBLANK(C687)))), "Common", "")</f>
        <v/>
      </c>
    </row>
    <row r="688" customFormat="false" ht="15.75" hidden="false" customHeight="false" outlineLevel="0" collapsed="false">
      <c r="A688" s="4"/>
      <c r="B688" s="3"/>
      <c r="C688" s="3"/>
      <c r="D688" s="4" t="str">
        <f aca="false">IF(AND(EXACT(B688,C688),NOT(AND(ISBLANK(B688),ISBLANK(C688)))), "Common", "")</f>
        <v/>
      </c>
    </row>
    <row r="689" customFormat="false" ht="15.75" hidden="false" customHeight="false" outlineLevel="0" collapsed="false">
      <c r="A689" s="4"/>
      <c r="B689" s="3"/>
      <c r="C689" s="3"/>
      <c r="D689" s="4" t="str">
        <f aca="false">IF(AND(EXACT(B689,C689),NOT(AND(ISBLANK(B689),ISBLANK(C689)))), "Common", "")</f>
        <v/>
      </c>
    </row>
    <row r="690" customFormat="false" ht="15.75" hidden="false" customHeight="false" outlineLevel="0" collapsed="false">
      <c r="A690" s="4"/>
      <c r="B690" s="3"/>
      <c r="C690" s="3"/>
      <c r="D690" s="4" t="str">
        <f aca="false">IF(AND(EXACT(B690,C690),NOT(AND(ISBLANK(B690),ISBLANK(C690)))), "Common", "")</f>
        <v/>
      </c>
    </row>
    <row r="691" customFormat="false" ht="15.75" hidden="false" customHeight="false" outlineLevel="0" collapsed="false">
      <c r="A691" s="4"/>
      <c r="B691" s="3"/>
      <c r="C691" s="3"/>
      <c r="D691" s="4" t="str">
        <f aca="false">IF(AND(EXACT(B691,C691),NOT(AND(ISBLANK(B691),ISBLANK(C691)))), "Common", "")</f>
        <v/>
      </c>
    </row>
    <row r="692" customFormat="false" ht="15.75" hidden="false" customHeight="false" outlineLevel="0" collapsed="false">
      <c r="A692" s="4"/>
      <c r="B692" s="3"/>
      <c r="C692" s="3"/>
      <c r="D692" s="4" t="str">
        <f aca="false">IF(AND(EXACT(B692,C692),NOT(AND(ISBLANK(B692),ISBLANK(C692)))), "Common", "")</f>
        <v/>
      </c>
    </row>
    <row r="693" customFormat="false" ht="15.75" hidden="false" customHeight="false" outlineLevel="0" collapsed="false">
      <c r="A693" s="4"/>
      <c r="B693" s="3"/>
      <c r="C693" s="3"/>
      <c r="D693" s="4" t="str">
        <f aca="false">IF(AND(EXACT(B693,C693),NOT(AND(ISBLANK(B693),ISBLANK(C693)))), "Common", "")</f>
        <v/>
      </c>
    </row>
    <row r="694" customFormat="false" ht="15.75" hidden="false" customHeight="false" outlineLevel="0" collapsed="false">
      <c r="A694" s="4"/>
      <c r="B694" s="3"/>
      <c r="C694" s="3"/>
      <c r="D694" s="4" t="str">
        <f aca="false">IF(AND(EXACT(B694,C694),NOT(AND(ISBLANK(B694),ISBLANK(C694)))), "Common", "")</f>
        <v/>
      </c>
    </row>
    <row r="695" customFormat="false" ht="15.75" hidden="false" customHeight="false" outlineLevel="0" collapsed="false">
      <c r="A695" s="4"/>
      <c r="B695" s="3"/>
      <c r="C695" s="3"/>
      <c r="D695" s="4" t="str">
        <f aca="false">IF(AND(EXACT(B695,C695),NOT(AND(ISBLANK(B695),ISBLANK(C695)))), "Common", "")</f>
        <v/>
      </c>
    </row>
    <row r="696" customFormat="false" ht="15.75" hidden="false" customHeight="false" outlineLevel="0" collapsed="false">
      <c r="A696" s="4"/>
      <c r="B696" s="3"/>
      <c r="C696" s="3"/>
      <c r="D696" s="4" t="str">
        <f aca="false">IF(AND(EXACT(B696,C696),NOT(AND(ISBLANK(B696),ISBLANK(C696)))), "Common", "")</f>
        <v/>
      </c>
    </row>
    <row r="697" customFormat="false" ht="15.75" hidden="false" customHeight="false" outlineLevel="0" collapsed="false">
      <c r="A697" s="4"/>
      <c r="B697" s="3"/>
      <c r="C697" s="3"/>
      <c r="D697" s="4" t="str">
        <f aca="false">IF(AND(EXACT(B697,C697),NOT(AND(ISBLANK(B697),ISBLANK(C697)))), "Common", "")</f>
        <v/>
      </c>
    </row>
    <row r="698" customFormat="false" ht="15.75" hidden="false" customHeight="false" outlineLevel="0" collapsed="false">
      <c r="A698" s="4"/>
      <c r="B698" s="3"/>
      <c r="C698" s="3"/>
      <c r="D698" s="4" t="str">
        <f aca="false">IF(AND(EXACT(B698,C698),NOT(AND(ISBLANK(B698),ISBLANK(C698)))), "Common", "")</f>
        <v/>
      </c>
    </row>
    <row r="699" customFormat="false" ht="15.75" hidden="false" customHeight="false" outlineLevel="0" collapsed="false">
      <c r="A699" s="4"/>
      <c r="B699" s="3"/>
      <c r="C699" s="3"/>
      <c r="D699" s="4" t="str">
        <f aca="false">IF(AND(EXACT(B699,C699),NOT(AND(ISBLANK(B699),ISBLANK(C699)))), "Common", "")</f>
        <v/>
      </c>
    </row>
    <row r="700" customFormat="false" ht="15.75" hidden="false" customHeight="false" outlineLevel="0" collapsed="false">
      <c r="A700" s="4"/>
      <c r="B700" s="3"/>
      <c r="C700" s="3"/>
      <c r="D700" s="4" t="str">
        <f aca="false">IF(AND(EXACT(B700,C700),NOT(AND(ISBLANK(B700),ISBLANK(C700)))), "Common", "")</f>
        <v/>
      </c>
    </row>
    <row r="701" customFormat="false" ht="15.75" hidden="false" customHeight="false" outlineLevel="0" collapsed="false">
      <c r="A701" s="4"/>
      <c r="B701" s="3"/>
      <c r="C701" s="3"/>
      <c r="D701" s="4" t="str">
        <f aca="false">IF(AND(EXACT(B701,C701),NOT(AND(ISBLANK(B701),ISBLANK(C701)))), "Common", "")</f>
        <v/>
      </c>
    </row>
    <row r="702" customFormat="false" ht="15.75" hidden="false" customHeight="false" outlineLevel="0" collapsed="false">
      <c r="A702" s="4"/>
      <c r="B702" s="3"/>
      <c r="C702" s="3"/>
      <c r="D702" s="4" t="str">
        <f aca="false">IF(AND(EXACT(B702,C702),NOT(AND(ISBLANK(B702),ISBLANK(C702)))), "Common", "")</f>
        <v/>
      </c>
    </row>
    <row r="703" customFormat="false" ht="15.75" hidden="false" customHeight="false" outlineLevel="0" collapsed="false">
      <c r="A703" s="4"/>
      <c r="B703" s="3"/>
      <c r="C703" s="3"/>
      <c r="D703" s="4" t="str">
        <f aca="false">IF(AND(EXACT(B703,C703),NOT(AND(ISBLANK(B703),ISBLANK(C703)))), "Common", "")</f>
        <v/>
      </c>
    </row>
    <row r="704" customFormat="false" ht="15.75" hidden="false" customHeight="false" outlineLevel="0" collapsed="false">
      <c r="A704" s="4"/>
      <c r="B704" s="3"/>
      <c r="C704" s="3"/>
      <c r="D704" s="4" t="str">
        <f aca="false">IF(AND(EXACT(B704,C704),NOT(AND(ISBLANK(B704),ISBLANK(C704)))), "Common", "")</f>
        <v/>
      </c>
    </row>
    <row r="705" customFormat="false" ht="15.75" hidden="false" customHeight="false" outlineLevel="0" collapsed="false">
      <c r="A705" s="4"/>
      <c r="B705" s="3"/>
      <c r="C705" s="3"/>
      <c r="D705" s="4" t="str">
        <f aca="false">IF(AND(EXACT(B705,C705),NOT(AND(ISBLANK(B705),ISBLANK(C705)))), "Common", "")</f>
        <v/>
      </c>
    </row>
    <row r="706" customFormat="false" ht="15.75" hidden="false" customHeight="false" outlineLevel="0" collapsed="false">
      <c r="A706" s="4"/>
      <c r="B706" s="3"/>
      <c r="C706" s="3"/>
      <c r="D706" s="4" t="str">
        <f aca="false">IF(AND(EXACT(B706,C706),NOT(AND(ISBLANK(B706),ISBLANK(C706)))), "Common", "")</f>
        <v/>
      </c>
    </row>
    <row r="707" customFormat="false" ht="15.75" hidden="false" customHeight="false" outlineLevel="0" collapsed="false">
      <c r="A707" s="4"/>
      <c r="B707" s="3"/>
      <c r="C707" s="3"/>
      <c r="D707" s="4" t="str">
        <f aca="false">IF(AND(EXACT(B707,C707),NOT(AND(ISBLANK(B707),ISBLANK(C707)))), "Common", "")</f>
        <v/>
      </c>
    </row>
    <row r="708" customFormat="false" ht="15.75" hidden="false" customHeight="false" outlineLevel="0" collapsed="false">
      <c r="A708" s="4"/>
      <c r="B708" s="3"/>
      <c r="C708" s="3"/>
      <c r="D708" s="4" t="str">
        <f aca="false">IF(AND(EXACT(B708,C708),NOT(AND(ISBLANK(B708),ISBLANK(C708)))), "Common", "")</f>
        <v/>
      </c>
    </row>
    <row r="709" customFormat="false" ht="15.75" hidden="false" customHeight="false" outlineLevel="0" collapsed="false">
      <c r="A709" s="4"/>
      <c r="B709" s="3"/>
      <c r="C709" s="3"/>
      <c r="D709" s="4" t="str">
        <f aca="false">IF(AND(EXACT(B709,C709),NOT(AND(ISBLANK(B709),ISBLANK(C709)))), "Common", "")</f>
        <v/>
      </c>
    </row>
    <row r="710" customFormat="false" ht="15.75" hidden="false" customHeight="false" outlineLevel="0" collapsed="false">
      <c r="A710" s="4"/>
      <c r="B710" s="3"/>
      <c r="C710" s="3"/>
      <c r="D710" s="4" t="str">
        <f aca="false">IF(AND(EXACT(B710,C710),NOT(AND(ISBLANK(B710),ISBLANK(C710)))), "Common", "")</f>
        <v/>
      </c>
    </row>
    <row r="711" customFormat="false" ht="15.75" hidden="false" customHeight="false" outlineLevel="0" collapsed="false">
      <c r="A711" s="4"/>
      <c r="B711" s="3"/>
      <c r="C711" s="3"/>
      <c r="D711" s="4" t="str">
        <f aca="false">IF(AND(EXACT(B711,C711),NOT(AND(ISBLANK(B711),ISBLANK(C711)))), "Common", "")</f>
        <v/>
      </c>
    </row>
    <row r="712" customFormat="false" ht="15.75" hidden="false" customHeight="false" outlineLevel="0" collapsed="false">
      <c r="A712" s="4"/>
      <c r="B712" s="3"/>
      <c r="C712" s="3"/>
      <c r="D712" s="4" t="str">
        <f aca="false">IF(AND(EXACT(B712,C712),NOT(AND(ISBLANK(B712),ISBLANK(C712)))), "Common", "")</f>
        <v/>
      </c>
    </row>
    <row r="713" customFormat="false" ht="15.75" hidden="false" customHeight="false" outlineLevel="0" collapsed="false">
      <c r="A713" s="4"/>
      <c r="B713" s="3"/>
      <c r="C713" s="3"/>
      <c r="D713" s="4" t="str">
        <f aca="false">IF(AND(EXACT(B713,C713),NOT(AND(ISBLANK(B713),ISBLANK(C713)))), "Common", "")</f>
        <v/>
      </c>
    </row>
    <row r="714" customFormat="false" ht="15.75" hidden="false" customHeight="false" outlineLevel="0" collapsed="false">
      <c r="A714" s="4"/>
      <c r="B714" s="3"/>
      <c r="C714" s="3"/>
      <c r="D714" s="4" t="str">
        <f aca="false">IF(AND(EXACT(B714,C714),NOT(AND(ISBLANK(B714),ISBLANK(C714)))), "Common", "")</f>
        <v/>
      </c>
    </row>
    <row r="715" customFormat="false" ht="15.75" hidden="false" customHeight="false" outlineLevel="0" collapsed="false">
      <c r="A715" s="4"/>
      <c r="B715" s="3"/>
      <c r="C715" s="3"/>
      <c r="D715" s="4" t="str">
        <f aca="false">IF(AND(EXACT(B715,C715),NOT(AND(ISBLANK(B715),ISBLANK(C715)))), "Common", "")</f>
        <v/>
      </c>
    </row>
    <row r="716" customFormat="false" ht="15.75" hidden="false" customHeight="false" outlineLevel="0" collapsed="false">
      <c r="A716" s="4"/>
      <c r="B716" s="3"/>
      <c r="C716" s="3"/>
      <c r="D716" s="4" t="str">
        <f aca="false">IF(AND(EXACT(B716,C716),NOT(AND(ISBLANK(B716),ISBLANK(C716)))), "Common", "")</f>
        <v/>
      </c>
    </row>
    <row r="717" customFormat="false" ht="15.75" hidden="false" customHeight="false" outlineLevel="0" collapsed="false">
      <c r="A717" s="4"/>
      <c r="B717" s="3"/>
      <c r="C717" s="3"/>
      <c r="D717" s="4" t="str">
        <f aca="false">IF(AND(EXACT(B717,C717),NOT(AND(ISBLANK(B717),ISBLANK(C717)))), "Common", "")</f>
        <v/>
      </c>
    </row>
    <row r="718" customFormat="false" ht="15.75" hidden="false" customHeight="false" outlineLevel="0" collapsed="false">
      <c r="A718" s="4"/>
      <c r="B718" s="3"/>
      <c r="C718" s="3"/>
      <c r="D718" s="4" t="str">
        <f aca="false">IF(AND(EXACT(B718,C718),NOT(AND(ISBLANK(B718),ISBLANK(C718)))), "Common", "")</f>
        <v/>
      </c>
    </row>
    <row r="719" customFormat="false" ht="15.75" hidden="false" customHeight="false" outlineLevel="0" collapsed="false">
      <c r="A719" s="4"/>
      <c r="B719" s="3"/>
      <c r="C719" s="3"/>
      <c r="D719" s="4" t="str">
        <f aca="false">IF(AND(EXACT(B719,C719),NOT(AND(ISBLANK(B719),ISBLANK(C719)))), "Common", "")</f>
        <v/>
      </c>
    </row>
    <row r="720" customFormat="false" ht="15.75" hidden="false" customHeight="false" outlineLevel="0" collapsed="false">
      <c r="A720" s="4"/>
      <c r="B720" s="3"/>
      <c r="C720" s="3"/>
      <c r="D720" s="4" t="str">
        <f aca="false">IF(AND(EXACT(B720,C720),NOT(AND(ISBLANK(B720),ISBLANK(C720)))), "Common", "")</f>
        <v/>
      </c>
    </row>
    <row r="721" customFormat="false" ht="15.75" hidden="false" customHeight="false" outlineLevel="0" collapsed="false">
      <c r="A721" s="4"/>
      <c r="B721" s="3"/>
      <c r="C721" s="3"/>
      <c r="D721" s="4" t="str">
        <f aca="false">IF(AND(EXACT(B721,C721),NOT(AND(ISBLANK(B721),ISBLANK(C721)))), "Common", "")</f>
        <v/>
      </c>
    </row>
    <row r="722" customFormat="false" ht="15.75" hidden="false" customHeight="false" outlineLevel="0" collapsed="false">
      <c r="A722" s="4"/>
      <c r="B722" s="3"/>
      <c r="C722" s="3"/>
      <c r="D722" s="4" t="str">
        <f aca="false">IF(AND(EXACT(B722,C722),NOT(AND(ISBLANK(B722),ISBLANK(C722)))), "Common", "")</f>
        <v/>
      </c>
    </row>
    <row r="723" customFormat="false" ht="15.75" hidden="false" customHeight="false" outlineLevel="0" collapsed="false">
      <c r="A723" s="4"/>
      <c r="B723" s="3"/>
      <c r="C723" s="3"/>
      <c r="D723" s="4" t="str">
        <f aca="false">IF(AND(EXACT(B723,C723),NOT(AND(ISBLANK(B723),ISBLANK(C723)))), "Common", "")</f>
        <v/>
      </c>
    </row>
    <row r="724" customFormat="false" ht="15.75" hidden="false" customHeight="false" outlineLevel="0" collapsed="false">
      <c r="A724" s="4"/>
      <c r="B724" s="3"/>
      <c r="C724" s="3"/>
      <c r="D724" s="4" t="str">
        <f aca="false">IF(AND(EXACT(B724,C724),NOT(AND(ISBLANK(B724),ISBLANK(C724)))), "Common", "")</f>
        <v/>
      </c>
    </row>
    <row r="725" customFormat="false" ht="15.75" hidden="false" customHeight="false" outlineLevel="0" collapsed="false">
      <c r="A725" s="4"/>
      <c r="B725" s="3"/>
      <c r="C725" s="3"/>
      <c r="D725" s="4" t="str">
        <f aca="false">IF(AND(EXACT(B725,C725),NOT(AND(ISBLANK(B725),ISBLANK(C725)))), "Common", "")</f>
        <v/>
      </c>
    </row>
    <row r="726" customFormat="false" ht="15.75" hidden="false" customHeight="false" outlineLevel="0" collapsed="false">
      <c r="A726" s="4"/>
      <c r="B726" s="3"/>
      <c r="C726" s="3"/>
      <c r="D726" s="4" t="str">
        <f aca="false">IF(AND(EXACT(B726,C726),NOT(AND(ISBLANK(B726),ISBLANK(C726)))), "Common", "")</f>
        <v/>
      </c>
    </row>
    <row r="727" customFormat="false" ht="15.75" hidden="false" customHeight="false" outlineLevel="0" collapsed="false">
      <c r="A727" s="4"/>
      <c r="B727" s="3"/>
      <c r="C727" s="3"/>
      <c r="D727" s="4" t="str">
        <f aca="false">IF(AND(EXACT(B727,C727),NOT(AND(ISBLANK(B727),ISBLANK(C727)))), "Common", "")</f>
        <v/>
      </c>
    </row>
    <row r="728" customFormat="false" ht="15.75" hidden="false" customHeight="false" outlineLevel="0" collapsed="false">
      <c r="A728" s="4"/>
      <c r="B728" s="3"/>
      <c r="C728" s="3"/>
      <c r="D728" s="4" t="str">
        <f aca="false">IF(AND(EXACT(B728,C728),NOT(AND(ISBLANK(B728),ISBLANK(C728)))), "Common", "")</f>
        <v/>
      </c>
    </row>
    <row r="729" customFormat="false" ht="15.75" hidden="false" customHeight="false" outlineLevel="0" collapsed="false">
      <c r="A729" s="4"/>
      <c r="B729" s="3"/>
      <c r="C729" s="3"/>
      <c r="D729" s="4" t="str">
        <f aca="false">IF(AND(EXACT(B729,C729),NOT(AND(ISBLANK(B729),ISBLANK(C729)))), "Common", "")</f>
        <v/>
      </c>
    </row>
    <row r="730" customFormat="false" ht="15.75" hidden="false" customHeight="false" outlineLevel="0" collapsed="false">
      <c r="A730" s="4"/>
      <c r="B730" s="3"/>
      <c r="C730" s="3"/>
      <c r="D730" s="4" t="str">
        <f aca="false">IF(AND(EXACT(B730,C730),NOT(AND(ISBLANK(B730),ISBLANK(C730)))), "Common", "")</f>
        <v/>
      </c>
    </row>
    <row r="731" customFormat="false" ht="15.75" hidden="false" customHeight="false" outlineLevel="0" collapsed="false">
      <c r="A731" s="4"/>
      <c r="B731" s="3"/>
      <c r="C731" s="3"/>
      <c r="D731" s="4" t="str">
        <f aca="false">IF(AND(EXACT(B731,C731),NOT(AND(ISBLANK(B731),ISBLANK(C731)))), "Common", "")</f>
        <v/>
      </c>
    </row>
    <row r="732" customFormat="false" ht="15.75" hidden="false" customHeight="false" outlineLevel="0" collapsed="false">
      <c r="A732" s="4"/>
      <c r="B732" s="3"/>
      <c r="C732" s="3"/>
      <c r="D732" s="4" t="str">
        <f aca="false">IF(AND(EXACT(B732,C732),NOT(AND(ISBLANK(B732),ISBLANK(C732)))), "Common", "")</f>
        <v/>
      </c>
    </row>
    <row r="733" customFormat="false" ht="15.75" hidden="false" customHeight="false" outlineLevel="0" collapsed="false">
      <c r="A733" s="4"/>
      <c r="B733" s="3"/>
      <c r="C733" s="3"/>
      <c r="D733" s="4" t="str">
        <f aca="false">IF(AND(EXACT(B733,C733),NOT(AND(ISBLANK(B733),ISBLANK(C733)))), "Common", "")</f>
        <v/>
      </c>
    </row>
    <row r="734" customFormat="false" ht="15.75" hidden="false" customHeight="false" outlineLevel="0" collapsed="false">
      <c r="A734" s="4"/>
      <c r="B734" s="3"/>
      <c r="C734" s="3"/>
      <c r="D734" s="4" t="str">
        <f aca="false">IF(AND(EXACT(B734,C734),NOT(AND(ISBLANK(B734),ISBLANK(C734)))), "Common", "")</f>
        <v/>
      </c>
    </row>
    <row r="735" customFormat="false" ht="15.75" hidden="false" customHeight="false" outlineLevel="0" collapsed="false">
      <c r="A735" s="4"/>
      <c r="B735" s="3"/>
      <c r="C735" s="3"/>
      <c r="D735" s="4" t="str">
        <f aca="false">IF(AND(EXACT(B735,C735),NOT(AND(ISBLANK(B735),ISBLANK(C735)))), "Common", "")</f>
        <v/>
      </c>
    </row>
    <row r="736" customFormat="false" ht="15.75" hidden="false" customHeight="false" outlineLevel="0" collapsed="false">
      <c r="A736" s="4"/>
      <c r="B736" s="3"/>
      <c r="C736" s="3"/>
      <c r="D736" s="4" t="str">
        <f aca="false">IF(AND(EXACT(B736,C736),NOT(AND(ISBLANK(B736),ISBLANK(C736)))), "Common", "")</f>
        <v/>
      </c>
    </row>
    <row r="737" customFormat="false" ht="15.75" hidden="false" customHeight="false" outlineLevel="0" collapsed="false">
      <c r="A737" s="4"/>
      <c r="B737" s="3"/>
      <c r="C737" s="3"/>
      <c r="D737" s="4" t="str">
        <f aca="false">IF(AND(EXACT(B737,C737),NOT(AND(ISBLANK(B737),ISBLANK(C737)))), "Common", "")</f>
        <v/>
      </c>
    </row>
    <row r="738" customFormat="false" ht="15.75" hidden="false" customHeight="false" outlineLevel="0" collapsed="false">
      <c r="A738" s="4"/>
      <c r="B738" s="3"/>
      <c r="C738" s="3"/>
      <c r="D738" s="4" t="str">
        <f aca="false">IF(AND(EXACT(B738,C738),NOT(AND(ISBLANK(B738),ISBLANK(C738)))), "Common", "")</f>
        <v/>
      </c>
    </row>
    <row r="739" customFormat="false" ht="15.75" hidden="false" customHeight="false" outlineLevel="0" collapsed="false">
      <c r="A739" s="4"/>
      <c r="B739" s="3"/>
      <c r="C739" s="3"/>
      <c r="D739" s="4" t="str">
        <f aca="false">IF(AND(EXACT(B739,C739),NOT(AND(ISBLANK(B739),ISBLANK(C739)))), "Common", "")</f>
        <v/>
      </c>
    </row>
    <row r="740" customFormat="false" ht="15.75" hidden="false" customHeight="false" outlineLevel="0" collapsed="false">
      <c r="A740" s="4"/>
      <c r="B740" s="3"/>
      <c r="C740" s="3"/>
      <c r="D740" s="4" t="str">
        <f aca="false">IF(AND(EXACT(B740,C740),NOT(AND(ISBLANK(B740),ISBLANK(C740)))), "Common", "")</f>
        <v/>
      </c>
    </row>
    <row r="741" customFormat="false" ht="15.75" hidden="false" customHeight="false" outlineLevel="0" collapsed="false">
      <c r="A741" s="4"/>
      <c r="B741" s="3"/>
      <c r="C741" s="3"/>
      <c r="D741" s="4" t="str">
        <f aca="false">IF(AND(EXACT(B741,C741),NOT(AND(ISBLANK(B741),ISBLANK(C741)))), "Common", "")</f>
        <v/>
      </c>
    </row>
    <row r="742" customFormat="false" ht="15.75" hidden="false" customHeight="false" outlineLevel="0" collapsed="false">
      <c r="A742" s="4"/>
      <c r="B742" s="3"/>
      <c r="C742" s="3"/>
      <c r="D742" s="4" t="str">
        <f aca="false">IF(AND(EXACT(B742,C742),NOT(AND(ISBLANK(B742),ISBLANK(C742)))), "Common", "")</f>
        <v/>
      </c>
    </row>
    <row r="743" customFormat="false" ht="15.75" hidden="false" customHeight="false" outlineLevel="0" collapsed="false">
      <c r="A743" s="4"/>
      <c r="B743" s="3"/>
      <c r="C743" s="3"/>
      <c r="D743" s="4" t="str">
        <f aca="false">IF(AND(EXACT(B743,C743),NOT(AND(ISBLANK(B743),ISBLANK(C743)))), "Common", "")</f>
        <v/>
      </c>
    </row>
    <row r="744" customFormat="false" ht="15.75" hidden="false" customHeight="false" outlineLevel="0" collapsed="false">
      <c r="A744" s="4"/>
      <c r="B744" s="3"/>
      <c r="C744" s="3"/>
      <c r="D744" s="4" t="str">
        <f aca="false">IF(AND(EXACT(B744,C744),NOT(AND(ISBLANK(B744),ISBLANK(C744)))), "Common", "")</f>
        <v/>
      </c>
    </row>
    <row r="745" customFormat="false" ht="15.75" hidden="false" customHeight="false" outlineLevel="0" collapsed="false">
      <c r="A745" s="4"/>
      <c r="B745" s="3"/>
      <c r="C745" s="3"/>
      <c r="D745" s="4" t="str">
        <f aca="false">IF(AND(EXACT(B745,C745),NOT(AND(ISBLANK(B745),ISBLANK(C745)))), "Common", "")</f>
        <v/>
      </c>
    </row>
    <row r="746" customFormat="false" ht="15.75" hidden="false" customHeight="false" outlineLevel="0" collapsed="false">
      <c r="A746" s="4"/>
      <c r="B746" s="3"/>
      <c r="C746" s="3"/>
      <c r="D746" s="4" t="str">
        <f aca="false">IF(AND(EXACT(B746,C746),NOT(AND(ISBLANK(B746),ISBLANK(C746)))), "Common", "")</f>
        <v/>
      </c>
    </row>
    <row r="747" customFormat="false" ht="15.75" hidden="false" customHeight="false" outlineLevel="0" collapsed="false">
      <c r="A747" s="4"/>
      <c r="B747" s="3"/>
      <c r="C747" s="3"/>
      <c r="D747" s="4" t="str">
        <f aca="false">IF(AND(EXACT(B747,C747),NOT(AND(ISBLANK(B747),ISBLANK(C747)))), "Common", "")</f>
        <v/>
      </c>
    </row>
    <row r="748" customFormat="false" ht="15.75" hidden="false" customHeight="false" outlineLevel="0" collapsed="false">
      <c r="A748" s="4"/>
      <c r="B748" s="3"/>
      <c r="C748" s="3"/>
      <c r="D748" s="4" t="str">
        <f aca="false">IF(AND(EXACT(B748,C748),NOT(AND(ISBLANK(B748),ISBLANK(C748)))), "Common", "")</f>
        <v/>
      </c>
    </row>
    <row r="749" customFormat="false" ht="15.75" hidden="false" customHeight="false" outlineLevel="0" collapsed="false">
      <c r="A749" s="4"/>
      <c r="B749" s="3"/>
      <c r="C749" s="3"/>
      <c r="D749" s="4" t="str">
        <f aca="false">IF(AND(EXACT(B749,C749),NOT(AND(ISBLANK(B749),ISBLANK(C749)))), "Common", "")</f>
        <v/>
      </c>
    </row>
    <row r="750" customFormat="false" ht="15.75" hidden="false" customHeight="false" outlineLevel="0" collapsed="false">
      <c r="A750" s="4"/>
      <c r="B750" s="3"/>
      <c r="C750" s="3"/>
      <c r="D750" s="4" t="str">
        <f aca="false">IF(AND(EXACT(B750,C750),NOT(AND(ISBLANK(B750),ISBLANK(C750)))), "Common", "")</f>
        <v/>
      </c>
    </row>
    <row r="751" customFormat="false" ht="15.75" hidden="false" customHeight="false" outlineLevel="0" collapsed="false">
      <c r="A751" s="4"/>
      <c r="B751" s="3"/>
      <c r="C751" s="3"/>
      <c r="D751" s="4" t="str">
        <f aca="false">IF(AND(EXACT(B751,C751),NOT(AND(ISBLANK(B751),ISBLANK(C751)))), "Common", "")</f>
        <v/>
      </c>
    </row>
    <row r="752" customFormat="false" ht="15.75" hidden="false" customHeight="false" outlineLevel="0" collapsed="false">
      <c r="A752" s="4"/>
      <c r="B752" s="3"/>
      <c r="C752" s="3"/>
      <c r="D752" s="4" t="str">
        <f aca="false">IF(AND(EXACT(B752,C752),NOT(AND(ISBLANK(B752),ISBLANK(C752)))), "Common", "")</f>
        <v/>
      </c>
    </row>
    <row r="753" customFormat="false" ht="15.75" hidden="false" customHeight="false" outlineLevel="0" collapsed="false">
      <c r="A753" s="4"/>
      <c r="B753" s="3"/>
      <c r="C753" s="3"/>
      <c r="D753" s="4" t="str">
        <f aca="false">IF(AND(EXACT(B753,C753),NOT(AND(ISBLANK(B753),ISBLANK(C753)))), "Common", "")</f>
        <v/>
      </c>
    </row>
    <row r="754" customFormat="false" ht="15.75" hidden="false" customHeight="false" outlineLevel="0" collapsed="false">
      <c r="A754" s="4"/>
      <c r="B754" s="3"/>
      <c r="C754" s="3"/>
      <c r="D754" s="4" t="str">
        <f aca="false">IF(AND(EXACT(B754,C754),NOT(AND(ISBLANK(B754),ISBLANK(C754)))), "Common", "")</f>
        <v/>
      </c>
    </row>
    <row r="755" customFormat="false" ht="15.75" hidden="false" customHeight="false" outlineLevel="0" collapsed="false">
      <c r="A755" s="4"/>
      <c r="B755" s="3"/>
      <c r="C755" s="3"/>
      <c r="D755" s="4" t="str">
        <f aca="false">IF(AND(EXACT(B755,C755),NOT(AND(ISBLANK(B755),ISBLANK(C755)))), "Common", "")</f>
        <v/>
      </c>
    </row>
    <row r="756" customFormat="false" ht="15.75" hidden="false" customHeight="false" outlineLevel="0" collapsed="false">
      <c r="A756" s="4"/>
      <c r="B756" s="3"/>
      <c r="C756" s="3"/>
      <c r="D756" s="4" t="str">
        <f aca="false">IF(AND(EXACT(B756,C756),NOT(AND(ISBLANK(B756),ISBLANK(C756)))), "Common", "")</f>
        <v/>
      </c>
    </row>
    <row r="757" customFormat="false" ht="15.75" hidden="false" customHeight="false" outlineLevel="0" collapsed="false">
      <c r="A757" s="4"/>
      <c r="B757" s="3"/>
      <c r="C757" s="3"/>
      <c r="D757" s="4" t="str">
        <f aca="false">IF(AND(EXACT(B757,C757),NOT(AND(ISBLANK(B757),ISBLANK(C757)))), "Common", "")</f>
        <v/>
      </c>
    </row>
    <row r="758" customFormat="false" ht="15.75" hidden="false" customHeight="false" outlineLevel="0" collapsed="false">
      <c r="A758" s="4"/>
      <c r="B758" s="3"/>
      <c r="C758" s="3"/>
      <c r="D758" s="4" t="str">
        <f aca="false">IF(AND(EXACT(B758,C758),NOT(AND(ISBLANK(B758),ISBLANK(C758)))), "Common", "")</f>
        <v/>
      </c>
    </row>
    <row r="759" customFormat="false" ht="15.75" hidden="false" customHeight="false" outlineLevel="0" collapsed="false">
      <c r="A759" s="4"/>
      <c r="B759" s="3"/>
      <c r="C759" s="3"/>
      <c r="D759" s="4" t="str">
        <f aca="false">IF(AND(EXACT(B759,C759),NOT(AND(ISBLANK(B759),ISBLANK(C759)))), "Common", "")</f>
        <v/>
      </c>
    </row>
    <row r="760" customFormat="false" ht="15.75" hidden="false" customHeight="false" outlineLevel="0" collapsed="false">
      <c r="A760" s="4"/>
      <c r="B760" s="3"/>
      <c r="C760" s="3"/>
      <c r="D760" s="4" t="str">
        <f aca="false">IF(AND(EXACT(B760,C760),NOT(AND(ISBLANK(B760),ISBLANK(C760)))), "Common", "")</f>
        <v/>
      </c>
    </row>
    <row r="761" customFormat="false" ht="15.75" hidden="false" customHeight="false" outlineLevel="0" collapsed="false">
      <c r="A761" s="4"/>
      <c r="B761" s="3"/>
      <c r="C761" s="3"/>
      <c r="D761" s="4" t="str">
        <f aca="false">IF(AND(EXACT(B761,C761),NOT(AND(ISBLANK(B761),ISBLANK(C761)))), "Common", "")</f>
        <v/>
      </c>
    </row>
    <row r="762" customFormat="false" ht="15.75" hidden="false" customHeight="false" outlineLevel="0" collapsed="false">
      <c r="A762" s="4"/>
      <c r="B762" s="3"/>
      <c r="C762" s="3"/>
      <c r="D762" s="4" t="str">
        <f aca="false">IF(AND(EXACT(B762,C762),NOT(AND(ISBLANK(B762),ISBLANK(C762)))), "Common", "")</f>
        <v/>
      </c>
    </row>
    <row r="763" customFormat="false" ht="15.75" hidden="false" customHeight="false" outlineLevel="0" collapsed="false">
      <c r="A763" s="4"/>
      <c r="B763" s="3"/>
      <c r="C763" s="3"/>
      <c r="D763" s="4" t="str">
        <f aca="false">IF(AND(EXACT(B763,C763),NOT(AND(ISBLANK(B763),ISBLANK(C763)))), "Common", "")</f>
        <v/>
      </c>
    </row>
    <row r="764" customFormat="false" ht="15.75" hidden="false" customHeight="false" outlineLevel="0" collapsed="false">
      <c r="A764" s="4"/>
      <c r="B764" s="3"/>
      <c r="C764" s="3"/>
      <c r="D764" s="4" t="str">
        <f aca="false">IF(AND(EXACT(B764,C764),NOT(AND(ISBLANK(B764),ISBLANK(C764)))), "Common", "")</f>
        <v/>
      </c>
    </row>
    <row r="765" customFormat="false" ht="15.75" hidden="false" customHeight="false" outlineLevel="0" collapsed="false">
      <c r="A765" s="4"/>
      <c r="B765" s="3"/>
      <c r="C765" s="3"/>
      <c r="D765" s="4" t="str">
        <f aca="false">IF(AND(EXACT(B765,C765),NOT(AND(ISBLANK(B765),ISBLANK(C765)))), "Common", "")</f>
        <v/>
      </c>
    </row>
    <row r="766" customFormat="false" ht="15.75" hidden="false" customHeight="false" outlineLevel="0" collapsed="false">
      <c r="A766" s="4"/>
      <c r="B766" s="3"/>
      <c r="C766" s="3"/>
      <c r="D766" s="4" t="str">
        <f aca="false">IF(AND(EXACT(B766,C766),NOT(AND(ISBLANK(B766),ISBLANK(C766)))), "Common", "")</f>
        <v/>
      </c>
    </row>
    <row r="767" customFormat="false" ht="15.75" hidden="false" customHeight="false" outlineLevel="0" collapsed="false">
      <c r="A767" s="4"/>
      <c r="B767" s="3"/>
      <c r="C767" s="3"/>
      <c r="D767" s="4" t="str">
        <f aca="false">IF(AND(EXACT(B767,C767),NOT(AND(ISBLANK(B767),ISBLANK(C767)))), "Common", "")</f>
        <v/>
      </c>
    </row>
    <row r="768" customFormat="false" ht="15.75" hidden="false" customHeight="false" outlineLevel="0" collapsed="false">
      <c r="A768" s="4"/>
      <c r="B768" s="3"/>
      <c r="C768" s="3"/>
      <c r="D768" s="4" t="str">
        <f aca="false">IF(AND(EXACT(B768,C768),NOT(AND(ISBLANK(B768),ISBLANK(C768)))), "Common", "")</f>
        <v/>
      </c>
    </row>
    <row r="769" customFormat="false" ht="15.75" hidden="false" customHeight="false" outlineLevel="0" collapsed="false">
      <c r="A769" s="4"/>
      <c r="B769" s="3"/>
      <c r="C769" s="3"/>
      <c r="D769" s="4" t="str">
        <f aca="false">IF(AND(EXACT(B769,C769),NOT(AND(ISBLANK(B769),ISBLANK(C769)))), "Common", "")</f>
        <v/>
      </c>
    </row>
    <row r="770" customFormat="false" ht="15.75" hidden="false" customHeight="false" outlineLevel="0" collapsed="false">
      <c r="A770" s="4"/>
      <c r="B770" s="3"/>
      <c r="C770" s="3"/>
      <c r="D770" s="4" t="str">
        <f aca="false">IF(AND(EXACT(B770,C770),NOT(AND(ISBLANK(B770),ISBLANK(C770)))), "Common", "")</f>
        <v/>
      </c>
    </row>
    <row r="771" customFormat="false" ht="15.75" hidden="false" customHeight="false" outlineLevel="0" collapsed="false">
      <c r="A771" s="4"/>
      <c r="B771" s="3"/>
      <c r="C771" s="3"/>
      <c r="D771" s="4" t="str">
        <f aca="false">IF(AND(EXACT(B771,C771),NOT(AND(ISBLANK(B771),ISBLANK(C771)))), "Common", "")</f>
        <v/>
      </c>
    </row>
    <row r="772" customFormat="false" ht="15.75" hidden="false" customHeight="false" outlineLevel="0" collapsed="false">
      <c r="A772" s="4"/>
      <c r="B772" s="3"/>
      <c r="C772" s="3"/>
      <c r="D772" s="4" t="str">
        <f aca="false">IF(AND(EXACT(B772,C772),NOT(AND(ISBLANK(B772),ISBLANK(C772)))), "Common", "")</f>
        <v/>
      </c>
    </row>
    <row r="773" customFormat="false" ht="15.75" hidden="false" customHeight="false" outlineLevel="0" collapsed="false">
      <c r="A773" s="4"/>
      <c r="B773" s="3"/>
      <c r="C773" s="3"/>
      <c r="D773" s="4" t="str">
        <f aca="false">IF(AND(EXACT(B773,C773),NOT(AND(ISBLANK(B773),ISBLANK(C773)))), "Common", "")</f>
        <v/>
      </c>
    </row>
    <row r="774" customFormat="false" ht="15.75" hidden="false" customHeight="false" outlineLevel="0" collapsed="false">
      <c r="A774" s="4"/>
      <c r="B774" s="3"/>
      <c r="C774" s="3"/>
      <c r="D774" s="4" t="str">
        <f aca="false">IF(AND(EXACT(B774,C774),NOT(AND(ISBLANK(B774),ISBLANK(C774)))), "Common", "")</f>
        <v/>
      </c>
    </row>
    <row r="775" customFormat="false" ht="15.75" hidden="false" customHeight="false" outlineLevel="0" collapsed="false">
      <c r="A775" s="4"/>
      <c r="B775" s="3"/>
      <c r="C775" s="3"/>
      <c r="D775" s="4" t="str">
        <f aca="false">IF(AND(EXACT(B775,C775),NOT(AND(ISBLANK(B775),ISBLANK(C775)))), "Common", "")</f>
        <v/>
      </c>
    </row>
    <row r="776" customFormat="false" ht="15.75" hidden="false" customHeight="false" outlineLevel="0" collapsed="false">
      <c r="A776" s="4"/>
      <c r="B776" s="3"/>
      <c r="C776" s="3"/>
      <c r="D776" s="4" t="str">
        <f aca="false">IF(AND(EXACT(B776,C776),NOT(AND(ISBLANK(B776),ISBLANK(C776)))), "Common", "")</f>
        <v/>
      </c>
    </row>
    <row r="777" customFormat="false" ht="15.75" hidden="false" customHeight="false" outlineLevel="0" collapsed="false">
      <c r="A777" s="4"/>
      <c r="B777" s="3"/>
      <c r="C777" s="3"/>
      <c r="D777" s="4" t="str">
        <f aca="false">IF(AND(EXACT(B777,C777),NOT(AND(ISBLANK(B777),ISBLANK(C777)))), "Common", "")</f>
        <v/>
      </c>
    </row>
    <row r="778" customFormat="false" ht="15.75" hidden="false" customHeight="false" outlineLevel="0" collapsed="false">
      <c r="A778" s="4"/>
      <c r="B778" s="3"/>
      <c r="C778" s="3"/>
      <c r="D778" s="4" t="str">
        <f aca="false">IF(AND(EXACT(B778,C778),NOT(AND(ISBLANK(B778),ISBLANK(C778)))), "Common", "")</f>
        <v/>
      </c>
    </row>
    <row r="779" customFormat="false" ht="15.75" hidden="false" customHeight="false" outlineLevel="0" collapsed="false">
      <c r="A779" s="4"/>
      <c r="B779" s="3"/>
      <c r="C779" s="3"/>
      <c r="D779" s="4" t="str">
        <f aca="false">IF(AND(EXACT(B779,C779),NOT(AND(ISBLANK(B779),ISBLANK(C779)))), "Common", "")</f>
        <v/>
      </c>
    </row>
    <row r="780" customFormat="false" ht="15.75" hidden="false" customHeight="false" outlineLevel="0" collapsed="false">
      <c r="A780" s="4"/>
      <c r="B780" s="3"/>
      <c r="C780" s="3"/>
      <c r="D780" s="4" t="str">
        <f aca="false">IF(AND(EXACT(B780,C780),NOT(AND(ISBLANK(B780),ISBLANK(C780)))), "Common", "")</f>
        <v/>
      </c>
    </row>
    <row r="781" customFormat="false" ht="15.75" hidden="false" customHeight="false" outlineLevel="0" collapsed="false">
      <c r="A781" s="4"/>
      <c r="B781" s="3"/>
      <c r="C781" s="3"/>
      <c r="D781" s="4" t="str">
        <f aca="false">IF(AND(EXACT(B781,C781),NOT(AND(ISBLANK(B781),ISBLANK(C781)))), "Common", "")</f>
        <v/>
      </c>
    </row>
    <row r="782" customFormat="false" ht="15.75" hidden="false" customHeight="false" outlineLevel="0" collapsed="false">
      <c r="A782" s="4"/>
      <c r="B782" s="3"/>
      <c r="C782" s="3"/>
      <c r="D782" s="4" t="str">
        <f aca="false">IF(AND(EXACT(B782,C782),NOT(AND(ISBLANK(B782),ISBLANK(C782)))), "Common", "")</f>
        <v/>
      </c>
    </row>
    <row r="783" customFormat="false" ht="15.75" hidden="false" customHeight="false" outlineLevel="0" collapsed="false">
      <c r="A783" s="4"/>
      <c r="B783" s="3"/>
      <c r="C783" s="3"/>
      <c r="D783" s="4" t="str">
        <f aca="false">IF(AND(EXACT(B783,C783),NOT(AND(ISBLANK(B783),ISBLANK(C783)))), "Common", "")</f>
        <v/>
      </c>
    </row>
    <row r="784" customFormat="false" ht="15.75" hidden="false" customHeight="false" outlineLevel="0" collapsed="false">
      <c r="A784" s="4"/>
      <c r="B784" s="3"/>
      <c r="C784" s="3"/>
      <c r="D784" s="4" t="str">
        <f aca="false">IF(AND(EXACT(B784,C784),NOT(AND(ISBLANK(B784),ISBLANK(C784)))), "Common", "")</f>
        <v/>
      </c>
    </row>
    <row r="785" customFormat="false" ht="15.75" hidden="false" customHeight="false" outlineLevel="0" collapsed="false">
      <c r="A785" s="4"/>
      <c r="B785" s="3"/>
      <c r="C785" s="3"/>
      <c r="D785" s="4" t="str">
        <f aca="false">IF(AND(EXACT(B785,C785),NOT(AND(ISBLANK(B785),ISBLANK(C785)))), "Common", "")</f>
        <v/>
      </c>
    </row>
    <row r="786" customFormat="false" ht="15.75" hidden="false" customHeight="false" outlineLevel="0" collapsed="false">
      <c r="A786" s="4"/>
      <c r="B786" s="3"/>
      <c r="C786" s="3"/>
      <c r="D786" s="4" t="str">
        <f aca="false">IF(AND(EXACT(B786,C786),NOT(AND(ISBLANK(B786),ISBLANK(C786)))), "Common", "")</f>
        <v/>
      </c>
    </row>
    <row r="787" customFormat="false" ht="15.75" hidden="false" customHeight="false" outlineLevel="0" collapsed="false">
      <c r="A787" s="4"/>
      <c r="B787" s="3"/>
      <c r="C787" s="3"/>
      <c r="D787" s="4" t="str">
        <f aca="false">IF(AND(EXACT(B787,C787),NOT(AND(ISBLANK(B787),ISBLANK(C787)))), "Common", "")</f>
        <v/>
      </c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B833" s="3"/>
      <c r="C833" s="3"/>
    </row>
    <row r="834" customFormat="false" ht="15.75" hidden="false" customHeight="false" outlineLevel="0" collapsed="false">
      <c r="B834" s="3"/>
      <c r="C834" s="3"/>
    </row>
    <row r="835" customFormat="false" ht="15.75" hidden="false" customHeight="false" outlineLevel="0" collapsed="false">
      <c r="B835" s="3"/>
      <c r="C835" s="3"/>
    </row>
    <row r="836" customFormat="false" ht="15.75" hidden="false" customHeight="false" outlineLevel="0" collapsed="false">
      <c r="B836" s="3"/>
      <c r="C836" s="3"/>
    </row>
    <row r="837" customFormat="false" ht="15.75" hidden="false" customHeight="false" outlineLevel="0" collapsed="false">
      <c r="B837" s="3"/>
      <c r="C837" s="3"/>
    </row>
    <row r="838" customFormat="false" ht="15.75" hidden="false" customHeight="false" outlineLevel="0" collapsed="false">
      <c r="B838" s="3"/>
      <c r="C838" s="3"/>
    </row>
    <row r="839" customFormat="false" ht="15.75" hidden="false" customHeight="false" outlineLevel="0" collapsed="false">
      <c r="B839" s="3"/>
      <c r="C839" s="3"/>
    </row>
    <row r="840" customFormat="false" ht="15.75" hidden="false" customHeight="false" outlineLevel="0" collapsed="false">
      <c r="B840" s="3"/>
      <c r="C840" s="3"/>
    </row>
    <row r="841" customFormat="false" ht="15.75" hidden="false" customHeight="false" outlineLevel="0" collapsed="false">
      <c r="B841" s="3"/>
      <c r="C841" s="3"/>
    </row>
    <row r="842" customFormat="false" ht="15.75" hidden="false" customHeight="false" outlineLevel="0" collapsed="false">
      <c r="B842" s="3"/>
      <c r="C842" s="3"/>
    </row>
    <row r="843" customFormat="false" ht="15.75" hidden="false" customHeight="false" outlineLevel="0" collapsed="false">
      <c r="B843" s="3"/>
      <c r="C843" s="3"/>
    </row>
    <row r="844" customFormat="false" ht="15.75" hidden="false" customHeight="false" outlineLevel="0" collapsed="false">
      <c r="B844" s="3"/>
      <c r="C844" s="3"/>
    </row>
    <row r="845" customFormat="false" ht="15.75" hidden="false" customHeight="false" outlineLevel="0" collapsed="false">
      <c r="B845" s="3"/>
      <c r="C845" s="3"/>
    </row>
    <row r="846" customFormat="false" ht="15.75" hidden="false" customHeight="false" outlineLevel="0" collapsed="false">
      <c r="B846" s="3"/>
      <c r="C846" s="3"/>
    </row>
    <row r="847" customFormat="false" ht="15.75" hidden="false" customHeight="false" outlineLevel="0" collapsed="false">
      <c r="B847" s="3"/>
      <c r="C847" s="3"/>
    </row>
    <row r="848" customFormat="false" ht="15.75" hidden="false" customHeight="false" outlineLevel="0" collapsed="false">
      <c r="B848" s="3"/>
      <c r="C848" s="3"/>
    </row>
    <row r="849" customFormat="false" ht="15.75" hidden="false" customHeight="false" outlineLevel="0" collapsed="false">
      <c r="B849" s="3"/>
      <c r="C849" s="3"/>
    </row>
    <row r="850" customFormat="false" ht="15.75" hidden="false" customHeight="false" outlineLevel="0" collapsed="false">
      <c r="B850" s="3"/>
      <c r="C850" s="3"/>
    </row>
    <row r="851" customFormat="false" ht="15.75" hidden="false" customHeight="false" outlineLevel="0" collapsed="false">
      <c r="B851" s="3"/>
      <c r="C851" s="3"/>
    </row>
    <row r="852" customFormat="false" ht="15.75" hidden="false" customHeight="false" outlineLevel="0" collapsed="false">
      <c r="B852" s="3"/>
      <c r="C852" s="3"/>
    </row>
    <row r="853" customFormat="false" ht="15.75" hidden="false" customHeight="false" outlineLevel="0" collapsed="false">
      <c r="B853" s="3"/>
      <c r="C853" s="3"/>
    </row>
    <row r="854" customFormat="false" ht="15.75" hidden="false" customHeight="false" outlineLevel="0" collapsed="false">
      <c r="B854" s="3"/>
      <c r="C854" s="3"/>
    </row>
    <row r="855" customFormat="false" ht="15.75" hidden="false" customHeight="false" outlineLevel="0" collapsed="false">
      <c r="B855" s="3"/>
      <c r="C855" s="3"/>
    </row>
    <row r="856" customFormat="false" ht="15.75" hidden="false" customHeight="false" outlineLevel="0" collapsed="false">
      <c r="B856" s="3"/>
      <c r="C856" s="3"/>
    </row>
    <row r="857" customFormat="false" ht="15.75" hidden="false" customHeight="false" outlineLevel="0" collapsed="false">
      <c r="B857" s="3"/>
      <c r="C857" s="3"/>
    </row>
    <row r="858" customFormat="false" ht="15.75" hidden="false" customHeight="false" outlineLevel="0" collapsed="false">
      <c r="B858" s="3"/>
      <c r="C858" s="3"/>
    </row>
    <row r="859" customFormat="false" ht="15.75" hidden="false" customHeight="false" outlineLevel="0" collapsed="false">
      <c r="B859" s="3"/>
      <c r="C859" s="3"/>
    </row>
    <row r="860" customFormat="false" ht="15.75" hidden="false" customHeight="false" outlineLevel="0" collapsed="false">
      <c r="B860" s="3"/>
      <c r="C860" s="3"/>
    </row>
    <row r="861" customFormat="false" ht="15.75" hidden="false" customHeight="false" outlineLevel="0" collapsed="false">
      <c r="B861" s="3"/>
      <c r="C861" s="3"/>
    </row>
    <row r="862" customFormat="false" ht="15.75" hidden="false" customHeight="false" outlineLevel="0" collapsed="false">
      <c r="B862" s="3"/>
      <c r="C862" s="3"/>
    </row>
    <row r="863" customFormat="false" ht="15.75" hidden="false" customHeight="false" outlineLevel="0" collapsed="false">
      <c r="B863" s="3"/>
      <c r="C863" s="3"/>
    </row>
    <row r="864" customFormat="false" ht="15.75" hidden="false" customHeight="false" outlineLevel="0" collapsed="false">
      <c r="B864" s="3"/>
      <c r="C864" s="3"/>
    </row>
    <row r="865" customFormat="false" ht="15.75" hidden="false" customHeight="false" outlineLevel="0" collapsed="false">
      <c r="B865" s="3"/>
      <c r="C865" s="3"/>
    </row>
    <row r="866" customFormat="false" ht="15.75" hidden="false" customHeight="false" outlineLevel="0" collapsed="false">
      <c r="B866" s="3"/>
      <c r="C866" s="3"/>
    </row>
    <row r="867" customFormat="false" ht="15.75" hidden="false" customHeight="false" outlineLevel="0" collapsed="false">
      <c r="B867" s="3"/>
      <c r="C867" s="3"/>
    </row>
    <row r="868" customFormat="false" ht="15.75" hidden="false" customHeight="false" outlineLevel="0" collapsed="false">
      <c r="B868" s="3"/>
      <c r="C868" s="3"/>
    </row>
    <row r="869" customFormat="false" ht="15.75" hidden="false" customHeight="false" outlineLevel="0" collapsed="false">
      <c r="B869" s="3"/>
      <c r="C869" s="3"/>
    </row>
    <row r="870" customFormat="false" ht="15.75" hidden="false" customHeight="false" outlineLevel="0" collapsed="false">
      <c r="B870" s="3"/>
      <c r="C870" s="3"/>
    </row>
    <row r="871" customFormat="false" ht="15.75" hidden="false" customHeight="false" outlineLevel="0" collapsed="false">
      <c r="B871" s="3"/>
      <c r="C871" s="3"/>
    </row>
    <row r="872" customFormat="false" ht="15.75" hidden="false" customHeight="false" outlineLevel="0" collapsed="false">
      <c r="B872" s="3"/>
      <c r="C872" s="3"/>
    </row>
    <row r="873" customFormat="false" ht="15.75" hidden="false" customHeight="false" outlineLevel="0" collapsed="false">
      <c r="B873" s="3"/>
      <c r="C873" s="3"/>
    </row>
    <row r="874" customFormat="false" ht="15.75" hidden="false" customHeight="false" outlineLevel="0" collapsed="false">
      <c r="B874" s="3"/>
      <c r="C874" s="3"/>
    </row>
    <row r="875" customFormat="false" ht="15.75" hidden="false" customHeight="false" outlineLevel="0" collapsed="false">
      <c r="B875" s="3"/>
      <c r="C875" s="3"/>
    </row>
    <row r="876" customFormat="false" ht="15.75" hidden="false" customHeight="false" outlineLevel="0" collapsed="false">
      <c r="B876" s="3"/>
      <c r="C876" s="3"/>
    </row>
    <row r="877" customFormat="false" ht="15.75" hidden="false" customHeight="false" outlineLevel="0" collapsed="false">
      <c r="B877" s="3"/>
      <c r="C877" s="3"/>
    </row>
    <row r="878" customFormat="false" ht="15.75" hidden="false" customHeight="false" outlineLevel="0" collapsed="false">
      <c r="B878" s="3"/>
      <c r="C878" s="3"/>
    </row>
    <row r="879" customFormat="false" ht="15.75" hidden="false" customHeight="false" outlineLevel="0" collapsed="false">
      <c r="B879" s="3"/>
      <c r="C879" s="3"/>
    </row>
    <row r="880" customFormat="false" ht="15.75" hidden="false" customHeight="false" outlineLevel="0" collapsed="false">
      <c r="B880" s="3"/>
      <c r="C880" s="3"/>
    </row>
    <row r="881" customFormat="false" ht="15.75" hidden="false" customHeight="false" outlineLevel="0" collapsed="false">
      <c r="B881" s="3"/>
      <c r="C881" s="3"/>
    </row>
    <row r="882" customFormat="false" ht="15.75" hidden="false" customHeight="false" outlineLevel="0" collapsed="false">
      <c r="B882" s="3"/>
      <c r="C882" s="3"/>
    </row>
    <row r="883" customFormat="false" ht="15.75" hidden="false" customHeight="false" outlineLevel="0" collapsed="false">
      <c r="B883" s="3"/>
      <c r="C883" s="3"/>
    </row>
    <row r="884" customFormat="false" ht="15.75" hidden="false" customHeight="false" outlineLevel="0" collapsed="false">
      <c r="B884" s="3"/>
      <c r="C884" s="3"/>
    </row>
    <row r="885" customFormat="false" ht="15.75" hidden="false" customHeight="false" outlineLevel="0" collapsed="false">
      <c r="B885" s="3"/>
      <c r="C885" s="3"/>
    </row>
    <row r="886" customFormat="false" ht="15.75" hidden="false" customHeight="false" outlineLevel="0" collapsed="false">
      <c r="B886" s="3"/>
      <c r="C886" s="3"/>
    </row>
    <row r="887" customFormat="false" ht="15.75" hidden="false" customHeight="false" outlineLevel="0" collapsed="false">
      <c r="B887" s="3"/>
      <c r="C887" s="3"/>
    </row>
    <row r="888" customFormat="false" ht="15.75" hidden="false" customHeight="false" outlineLevel="0" collapsed="false">
      <c r="B888" s="3"/>
      <c r="C888" s="3"/>
    </row>
    <row r="889" customFormat="false" ht="15.75" hidden="false" customHeight="false" outlineLevel="0" collapsed="false">
      <c r="B889" s="3"/>
      <c r="C889" s="3"/>
    </row>
    <row r="890" customFormat="false" ht="15.75" hidden="false" customHeight="false" outlineLevel="0" collapsed="false">
      <c r="B890" s="3"/>
      <c r="C890" s="3"/>
    </row>
    <row r="891" customFormat="false" ht="15.75" hidden="false" customHeight="false" outlineLevel="0" collapsed="false">
      <c r="B891" s="3"/>
      <c r="C891" s="3"/>
    </row>
    <row r="892" customFormat="false" ht="15.75" hidden="false" customHeight="false" outlineLevel="0" collapsed="false">
      <c r="B892" s="3"/>
      <c r="C892" s="3"/>
    </row>
    <row r="893" customFormat="false" ht="15.75" hidden="false" customHeight="false" outlineLevel="0" collapsed="false">
      <c r="B893" s="3"/>
      <c r="C893" s="3"/>
    </row>
    <row r="894" customFormat="false" ht="15.75" hidden="false" customHeight="false" outlineLevel="0" collapsed="false">
      <c r="B894" s="3"/>
      <c r="C894" s="3"/>
    </row>
    <row r="895" customFormat="false" ht="15.75" hidden="false" customHeight="false" outlineLevel="0" collapsed="false">
      <c r="B895" s="3"/>
      <c r="C895" s="3"/>
    </row>
    <row r="896" customFormat="false" ht="15.75" hidden="false" customHeight="false" outlineLevel="0" collapsed="false">
      <c r="B896" s="3"/>
      <c r="C896" s="3"/>
    </row>
    <row r="897" customFormat="false" ht="15.75" hidden="false" customHeight="false" outlineLevel="0" collapsed="false">
      <c r="B897" s="3"/>
      <c r="C897" s="3"/>
    </row>
    <row r="898" customFormat="false" ht="15.75" hidden="false" customHeight="false" outlineLevel="0" collapsed="false">
      <c r="B898" s="3"/>
      <c r="C898" s="3"/>
    </row>
    <row r="899" customFormat="false" ht="15.75" hidden="false" customHeight="false" outlineLevel="0" collapsed="false">
      <c r="B899" s="3"/>
      <c r="C899" s="3"/>
    </row>
    <row r="900" customFormat="false" ht="15.75" hidden="false" customHeight="false" outlineLevel="0" collapsed="false">
      <c r="B900" s="3"/>
      <c r="C900" s="3"/>
    </row>
    <row r="901" customFormat="false" ht="15.75" hidden="false" customHeight="false" outlineLevel="0" collapsed="false">
      <c r="B901" s="3"/>
      <c r="C901" s="3"/>
    </row>
    <row r="902" customFormat="false" ht="15.75" hidden="false" customHeight="false" outlineLevel="0" collapsed="false">
      <c r="B902" s="3"/>
      <c r="C902" s="3"/>
    </row>
    <row r="903" customFormat="false" ht="15.75" hidden="false" customHeight="false" outlineLevel="0" collapsed="false">
      <c r="B903" s="3"/>
      <c r="C903" s="3"/>
    </row>
    <row r="904" customFormat="false" ht="15.75" hidden="false" customHeight="false" outlineLevel="0" collapsed="false">
      <c r="B904" s="3"/>
      <c r="C904" s="3"/>
    </row>
    <row r="905" customFormat="false" ht="15.75" hidden="false" customHeight="false" outlineLevel="0" collapsed="false">
      <c r="B905" s="3"/>
      <c r="C905" s="3"/>
    </row>
    <row r="906" customFormat="false" ht="15.75" hidden="false" customHeight="false" outlineLevel="0" collapsed="false">
      <c r="B906" s="3"/>
      <c r="C906" s="3"/>
    </row>
    <row r="907" customFormat="false" ht="15.75" hidden="false" customHeight="false" outlineLevel="0" collapsed="false">
      <c r="B907" s="3"/>
      <c r="C907" s="3"/>
    </row>
    <row r="908" customFormat="false" ht="15.75" hidden="false" customHeight="false" outlineLevel="0" collapsed="false">
      <c r="B908" s="3"/>
      <c r="C908" s="3"/>
    </row>
    <row r="909" customFormat="false" ht="15.75" hidden="false" customHeight="false" outlineLevel="0" collapsed="false">
      <c r="B909" s="3"/>
      <c r="C909" s="3"/>
    </row>
    <row r="910" customFormat="false" ht="15.75" hidden="false" customHeight="false" outlineLevel="0" collapsed="false">
      <c r="B910" s="3"/>
      <c r="C910" s="3"/>
    </row>
    <row r="911" customFormat="false" ht="15.75" hidden="false" customHeight="false" outlineLevel="0" collapsed="false">
      <c r="B911" s="3"/>
      <c r="C911" s="3"/>
    </row>
    <row r="912" customFormat="false" ht="15.75" hidden="false" customHeight="false" outlineLevel="0" collapsed="false">
      <c r="B912" s="3"/>
      <c r="C912" s="3"/>
    </row>
    <row r="913" customFormat="false" ht="15.75" hidden="false" customHeight="false" outlineLevel="0" collapsed="false">
      <c r="B913" s="3"/>
      <c r="C913" s="3"/>
    </row>
    <row r="914" customFormat="false" ht="15.75" hidden="false" customHeight="false" outlineLevel="0" collapsed="false">
      <c r="B914" s="3"/>
      <c r="C914" s="3"/>
    </row>
    <row r="915" customFormat="false" ht="15.75" hidden="false" customHeight="false" outlineLevel="0" collapsed="false">
      <c r="B915" s="3"/>
      <c r="C915" s="3"/>
    </row>
    <row r="916" customFormat="false" ht="15.75" hidden="false" customHeight="false" outlineLevel="0" collapsed="false">
      <c r="B916" s="3"/>
      <c r="C916" s="3"/>
    </row>
    <row r="917" customFormat="false" ht="15.75" hidden="false" customHeight="false" outlineLevel="0" collapsed="false">
      <c r="B917" s="3"/>
      <c r="C917" s="3"/>
    </row>
    <row r="918" customFormat="false" ht="15.75" hidden="false" customHeight="false" outlineLevel="0" collapsed="false">
      <c r="B918" s="3"/>
      <c r="C918" s="3"/>
    </row>
    <row r="919" customFormat="false" ht="15.75" hidden="false" customHeight="false" outlineLevel="0" collapsed="false">
      <c r="B919" s="3"/>
      <c r="C919" s="3"/>
    </row>
    <row r="920" customFormat="false" ht="15.75" hidden="false" customHeight="false" outlineLevel="0" collapsed="false">
      <c r="B920" s="3"/>
      <c r="C920" s="3"/>
    </row>
    <row r="921" customFormat="false" ht="15.75" hidden="false" customHeight="false" outlineLevel="0" collapsed="false">
      <c r="B921" s="3"/>
      <c r="C921" s="3"/>
    </row>
    <row r="922" customFormat="false" ht="15.75" hidden="false" customHeight="false" outlineLevel="0" collapsed="false">
      <c r="B922" s="3"/>
      <c r="C922" s="3"/>
    </row>
    <row r="923" customFormat="false" ht="15.75" hidden="false" customHeight="false" outlineLevel="0" collapsed="false">
      <c r="B923" s="3"/>
      <c r="C923" s="3"/>
    </row>
    <row r="924" customFormat="false" ht="15.75" hidden="false" customHeight="false" outlineLevel="0" collapsed="false">
      <c r="B924" s="3"/>
      <c r="C924" s="3"/>
    </row>
    <row r="925" customFormat="false" ht="15.75" hidden="false" customHeight="false" outlineLevel="0" collapsed="false">
      <c r="B925" s="3"/>
      <c r="C925" s="3"/>
    </row>
    <row r="926" customFormat="false" ht="15.75" hidden="false" customHeight="false" outlineLevel="0" collapsed="false">
      <c r="B926" s="3"/>
      <c r="C926" s="3"/>
    </row>
    <row r="927" customFormat="false" ht="15.75" hidden="false" customHeight="false" outlineLevel="0" collapsed="false">
      <c r="B927" s="3"/>
      <c r="C927" s="3"/>
    </row>
    <row r="928" customFormat="false" ht="15.75" hidden="false" customHeight="false" outlineLevel="0" collapsed="false">
      <c r="B928" s="3"/>
      <c r="C928" s="3"/>
    </row>
    <row r="929" customFormat="false" ht="15.75" hidden="false" customHeight="false" outlineLevel="0" collapsed="false">
      <c r="B929" s="3"/>
      <c r="C929" s="3"/>
    </row>
    <row r="930" customFormat="false" ht="15.75" hidden="false" customHeight="false" outlineLevel="0" collapsed="false">
      <c r="B930" s="3"/>
      <c r="C930" s="3"/>
    </row>
    <row r="931" customFormat="false" ht="15.75" hidden="false" customHeight="false" outlineLevel="0" collapsed="false">
      <c r="B931" s="3"/>
      <c r="C931" s="3"/>
    </row>
    <row r="932" customFormat="false" ht="15.75" hidden="false" customHeight="false" outlineLevel="0" collapsed="false">
      <c r="B932" s="3"/>
      <c r="C932" s="3"/>
    </row>
    <row r="933" customFormat="false" ht="15.75" hidden="false" customHeight="false" outlineLevel="0" collapsed="false">
      <c r="B933" s="3"/>
      <c r="C933" s="3"/>
    </row>
    <row r="934" customFormat="false" ht="15.75" hidden="false" customHeight="false" outlineLevel="0" collapsed="false">
      <c r="B934" s="3"/>
      <c r="C934" s="3"/>
    </row>
    <row r="935" customFormat="false" ht="15.75" hidden="false" customHeight="false" outlineLevel="0" collapsed="false">
      <c r="B935" s="3"/>
      <c r="C935" s="3"/>
    </row>
    <row r="936" customFormat="false" ht="15.75" hidden="false" customHeight="false" outlineLevel="0" collapsed="false">
      <c r="B936" s="3"/>
      <c r="C936" s="3"/>
    </row>
    <row r="937" customFormat="false" ht="15.75" hidden="false" customHeight="false" outlineLevel="0" collapsed="false">
      <c r="B937" s="3"/>
      <c r="C937" s="3"/>
    </row>
    <row r="938" customFormat="false" ht="15.75" hidden="false" customHeight="false" outlineLevel="0" collapsed="false">
      <c r="B938" s="3"/>
      <c r="C938" s="3"/>
    </row>
    <row r="939" customFormat="false" ht="15.75" hidden="false" customHeight="false" outlineLevel="0" collapsed="false">
      <c r="B939" s="3"/>
      <c r="C939" s="3"/>
    </row>
    <row r="940" customFormat="false" ht="15.75" hidden="false" customHeight="false" outlineLevel="0" collapsed="false">
      <c r="B940" s="3"/>
      <c r="C940" s="3"/>
    </row>
    <row r="941" customFormat="false" ht="15.75" hidden="false" customHeight="false" outlineLevel="0" collapsed="false">
      <c r="B941" s="3"/>
      <c r="C941" s="3"/>
    </row>
    <row r="942" customFormat="false" ht="15.75" hidden="false" customHeight="false" outlineLevel="0" collapsed="false">
      <c r="B942" s="3"/>
      <c r="C942" s="3"/>
    </row>
    <row r="943" customFormat="false" ht="15.75" hidden="false" customHeight="false" outlineLevel="0" collapsed="false">
      <c r="B943" s="3"/>
      <c r="C943" s="3"/>
    </row>
    <row r="944" customFormat="false" ht="15.75" hidden="false" customHeight="false" outlineLevel="0" collapsed="false">
      <c r="B944" s="3"/>
      <c r="C944" s="3"/>
    </row>
    <row r="945" customFormat="false" ht="15.75" hidden="false" customHeight="false" outlineLevel="0" collapsed="false">
      <c r="B945" s="3"/>
      <c r="C945" s="3"/>
    </row>
    <row r="946" customFormat="false" ht="15.75" hidden="false" customHeight="false" outlineLevel="0" collapsed="false">
      <c r="B946" s="3"/>
      <c r="C946" s="3"/>
    </row>
    <row r="947" customFormat="false" ht="15.75" hidden="false" customHeight="false" outlineLevel="0" collapsed="false">
      <c r="B947" s="3"/>
      <c r="C947" s="3"/>
    </row>
    <row r="948" customFormat="false" ht="15.75" hidden="false" customHeight="false" outlineLevel="0" collapsed="false">
      <c r="B948" s="3"/>
      <c r="C948" s="3"/>
    </row>
    <row r="949" customFormat="false" ht="15.75" hidden="false" customHeight="false" outlineLevel="0" collapsed="false">
      <c r="B949" s="3"/>
      <c r="C949" s="3"/>
    </row>
    <row r="950" customFormat="false" ht="15.75" hidden="false" customHeight="false" outlineLevel="0" collapsed="false">
      <c r="B950" s="3"/>
      <c r="C950" s="3"/>
    </row>
    <row r="951" customFormat="false" ht="15.75" hidden="false" customHeight="false" outlineLevel="0" collapsed="false">
      <c r="B951" s="3"/>
      <c r="C951" s="3"/>
    </row>
    <row r="952" customFormat="false" ht="15.75" hidden="false" customHeight="false" outlineLevel="0" collapsed="false">
      <c r="B952" s="3"/>
      <c r="C952" s="3"/>
    </row>
    <row r="953" customFormat="false" ht="15.75" hidden="false" customHeight="false" outlineLevel="0" collapsed="false">
      <c r="B953" s="3"/>
      <c r="C953" s="3"/>
    </row>
    <row r="954" customFormat="false" ht="15.75" hidden="false" customHeight="false" outlineLevel="0" collapsed="false">
      <c r="B954" s="3"/>
      <c r="C954" s="3"/>
    </row>
    <row r="955" customFormat="false" ht="15.75" hidden="false" customHeight="false" outlineLevel="0" collapsed="false">
      <c r="B955" s="3"/>
      <c r="C955" s="3"/>
    </row>
    <row r="956" customFormat="false" ht="15.75" hidden="false" customHeight="false" outlineLevel="0" collapsed="false">
      <c r="B956" s="3"/>
      <c r="C956" s="3"/>
    </row>
    <row r="957" customFormat="false" ht="15.75" hidden="false" customHeight="false" outlineLevel="0" collapsed="false">
      <c r="B957" s="3"/>
      <c r="C957" s="3"/>
    </row>
    <row r="958" customFormat="false" ht="15.75" hidden="false" customHeight="false" outlineLevel="0" collapsed="false">
      <c r="B958" s="3"/>
      <c r="C958" s="3"/>
    </row>
    <row r="959" customFormat="false" ht="15.75" hidden="false" customHeight="false" outlineLevel="0" collapsed="false">
      <c r="B959" s="3"/>
      <c r="C959" s="3"/>
    </row>
    <row r="960" customFormat="false" ht="15.75" hidden="false" customHeight="false" outlineLevel="0" collapsed="false">
      <c r="B960" s="3"/>
      <c r="C960" s="3"/>
    </row>
    <row r="961" customFormat="false" ht="15.75" hidden="false" customHeight="false" outlineLevel="0" collapsed="false">
      <c r="B961" s="3"/>
      <c r="C961" s="3"/>
    </row>
    <row r="962" customFormat="false" ht="15.75" hidden="false" customHeight="false" outlineLevel="0" collapsed="false">
      <c r="B962" s="3"/>
      <c r="C962" s="3"/>
    </row>
    <row r="963" customFormat="false" ht="15.75" hidden="false" customHeight="false" outlineLevel="0" collapsed="false">
      <c r="B963" s="3"/>
      <c r="C963" s="3"/>
    </row>
    <row r="964" customFormat="false" ht="15.75" hidden="false" customHeight="false" outlineLevel="0" collapsed="false">
      <c r="B964" s="3"/>
      <c r="C964" s="3"/>
    </row>
    <row r="965" customFormat="false" ht="15.75" hidden="false" customHeight="false" outlineLevel="0" collapsed="false">
      <c r="B965" s="3"/>
      <c r="C965" s="3"/>
    </row>
    <row r="966" customFormat="false" ht="15.75" hidden="false" customHeight="false" outlineLevel="0" collapsed="false">
      <c r="B966" s="3"/>
      <c r="C966" s="3"/>
    </row>
    <row r="967" customFormat="false" ht="15.75" hidden="false" customHeight="false" outlineLevel="0" collapsed="false">
      <c r="B967" s="3"/>
      <c r="C967" s="3"/>
    </row>
    <row r="968" customFormat="false" ht="15.75" hidden="false" customHeight="false" outlineLevel="0" collapsed="false">
      <c r="B968" s="3"/>
      <c r="C968" s="3"/>
    </row>
    <row r="969" customFormat="false" ht="15.75" hidden="false" customHeight="false" outlineLevel="0" collapsed="false">
      <c r="B969" s="3"/>
      <c r="C969" s="3"/>
    </row>
    <row r="970" customFormat="false" ht="15.75" hidden="false" customHeight="false" outlineLevel="0" collapsed="false">
      <c r="B970" s="3"/>
      <c r="C970" s="3"/>
    </row>
    <row r="971" customFormat="false" ht="15.75" hidden="false" customHeight="false" outlineLevel="0" collapsed="false">
      <c r="B971" s="3"/>
      <c r="C971" s="3"/>
    </row>
    <row r="972" customFormat="false" ht="15.75" hidden="false" customHeight="false" outlineLevel="0" collapsed="false">
      <c r="B972" s="3"/>
      <c r="C972" s="3"/>
    </row>
    <row r="973" customFormat="false" ht="15.75" hidden="false" customHeight="false" outlineLevel="0" collapsed="false">
      <c r="B973" s="3"/>
      <c r="C973" s="3"/>
    </row>
    <row r="974" customFormat="false" ht="15.75" hidden="false" customHeight="false" outlineLevel="0" collapsed="false">
      <c r="B974" s="3"/>
      <c r="C974" s="3"/>
    </row>
    <row r="975" customFormat="false" ht="15.75" hidden="false" customHeight="false" outlineLevel="0" collapsed="false">
      <c r="B975" s="3"/>
      <c r="C975" s="3"/>
    </row>
    <row r="976" customFormat="false" ht="15.75" hidden="false" customHeight="false" outlineLevel="0" collapsed="false">
      <c r="B976" s="3"/>
      <c r="C976" s="3"/>
    </row>
    <row r="977" customFormat="false" ht="15.75" hidden="false" customHeight="false" outlineLevel="0" collapsed="false">
      <c r="B977" s="3"/>
      <c r="C977" s="3"/>
    </row>
    <row r="978" customFormat="false" ht="15.75" hidden="false" customHeight="false" outlineLevel="0" collapsed="false">
      <c r="B978" s="3"/>
      <c r="C978" s="3"/>
    </row>
    <row r="979" customFormat="false" ht="15.75" hidden="false" customHeight="false" outlineLevel="0" collapsed="false">
      <c r="B979" s="3"/>
      <c r="C979" s="3"/>
    </row>
    <row r="980" customFormat="false" ht="15.75" hidden="false" customHeight="false" outlineLevel="0" collapsed="false">
      <c r="B980" s="3"/>
      <c r="C980" s="3"/>
    </row>
    <row r="981" customFormat="false" ht="15.75" hidden="false" customHeight="false" outlineLevel="0" collapsed="false">
      <c r="B981" s="3"/>
      <c r="C981" s="3"/>
    </row>
    <row r="982" customFormat="false" ht="15.75" hidden="false" customHeight="false" outlineLevel="0" collapsed="false">
      <c r="B982" s="3"/>
      <c r="C982" s="3"/>
    </row>
    <row r="983" customFormat="false" ht="15.75" hidden="false" customHeight="false" outlineLevel="0" collapsed="false">
      <c r="B983" s="3"/>
      <c r="C983" s="3"/>
    </row>
    <row r="984" customFormat="false" ht="15.75" hidden="false" customHeight="false" outlineLevel="0" collapsed="false">
      <c r="B984" s="3"/>
      <c r="C984" s="3"/>
    </row>
    <row r="985" customFormat="false" ht="15.75" hidden="false" customHeight="false" outlineLevel="0" collapsed="false">
      <c r="B985" s="3"/>
      <c r="C985" s="3"/>
    </row>
    <row r="986" customFormat="false" ht="15.75" hidden="false" customHeight="false" outlineLevel="0" collapsed="false">
      <c r="B986" s="3"/>
      <c r="C986" s="3"/>
    </row>
    <row r="987" customFormat="false" ht="15.75" hidden="false" customHeight="false" outlineLevel="0" collapsed="false">
      <c r="B987" s="3"/>
      <c r="C987" s="3"/>
    </row>
    <row r="988" customFormat="false" ht="15.75" hidden="false" customHeight="false" outlineLevel="0" collapsed="false">
      <c r="B988" s="3"/>
      <c r="C988" s="3"/>
    </row>
    <row r="989" customFormat="false" ht="15.75" hidden="false" customHeight="false" outlineLevel="0" collapsed="false">
      <c r="B989" s="3"/>
      <c r="C989" s="3"/>
    </row>
    <row r="990" customFormat="false" ht="15.75" hidden="false" customHeight="false" outlineLevel="0" collapsed="false">
      <c r="B990" s="3"/>
      <c r="C990" s="3"/>
    </row>
    <row r="991" customFormat="false" ht="15.75" hidden="false" customHeight="false" outlineLevel="0" collapsed="false">
      <c r="B991" s="3"/>
      <c r="C991" s="3"/>
    </row>
    <row r="992" customFormat="false" ht="15.75" hidden="false" customHeight="false" outlineLevel="0" collapsed="false">
      <c r="B992" s="3"/>
      <c r="C992" s="3"/>
    </row>
    <row r="993" customFormat="false" ht="15.75" hidden="false" customHeight="false" outlineLevel="0" collapsed="false">
      <c r="B993" s="3"/>
      <c r="C993" s="3"/>
    </row>
    <row r="994" customFormat="false" ht="15.75" hidden="false" customHeight="false" outlineLevel="0" collapsed="false">
      <c r="B994" s="3"/>
      <c r="C994" s="3"/>
    </row>
    <row r="995" customFormat="false" ht="15.75" hidden="false" customHeight="false" outlineLevel="0" collapsed="false">
      <c r="B995" s="3"/>
      <c r="C995" s="3"/>
    </row>
    <row r="996" customFormat="false" ht="15.75" hidden="false" customHeight="false" outlineLevel="0" collapsed="false">
      <c r="B996" s="3"/>
      <c r="C996" s="3"/>
    </row>
    <row r="997" customFormat="false" ht="15.75" hidden="false" customHeight="false" outlineLevel="0" collapsed="false">
      <c r="B997" s="3"/>
      <c r="C997" s="3"/>
    </row>
    <row r="998" customFormat="false" ht="15.75" hidden="false" customHeight="false" outlineLevel="0" collapsed="false">
      <c r="B998" s="3"/>
      <c r="C998" s="3"/>
    </row>
    <row r="999" customFormat="false" ht="15.75" hidden="false" customHeight="false" outlineLevel="0" collapsed="false">
      <c r="B999" s="3"/>
      <c r="C999" s="3"/>
    </row>
    <row r="1000" customFormat="false" ht="15.75" hidden="false" customHeight="false" outlineLevel="0" collapsed="false">
      <c r="B1000" s="3"/>
      <c r="C1000" s="3"/>
    </row>
    <row r="1001" customFormat="false" ht="15.75" hidden="false" customHeight="false" outlineLevel="0" collapsed="false">
      <c r="B1001" s="3"/>
      <c r="C1001" s="3"/>
    </row>
    <row r="1002" customFormat="false" ht="15.75" hidden="false" customHeight="false" outlineLevel="0" collapsed="false">
      <c r="B1002" s="3"/>
      <c r="C1002" s="3"/>
    </row>
    <row r="1003" customFormat="false" ht="15.75" hidden="false" customHeight="false" outlineLevel="0" collapsed="false">
      <c r="B1003" s="3"/>
      <c r="C1003" s="3"/>
    </row>
    <row r="1004" customFormat="false" ht="15.75" hidden="false" customHeight="false" outlineLevel="0" collapsed="false">
      <c r="B1004" s="3"/>
      <c r="C1004" s="3"/>
    </row>
    <row r="1005" customFormat="false" ht="15.75" hidden="false" customHeight="false" outlineLevel="0" collapsed="false">
      <c r="B1005" s="3"/>
      <c r="C1005" s="3"/>
    </row>
    <row r="1006" customFormat="false" ht="15.75" hidden="false" customHeight="false" outlineLevel="0" collapsed="false">
      <c r="B1006" s="3"/>
      <c r="C1006" s="3"/>
    </row>
    <row r="1007" customFormat="false" ht="15.75" hidden="false" customHeight="false" outlineLevel="0" collapsed="false">
      <c r="B1007" s="3"/>
      <c r="C1007" s="3"/>
    </row>
    <row r="1008" customFormat="false" ht="15.75" hidden="false" customHeight="false" outlineLevel="0" collapsed="false">
      <c r="B1008" s="3"/>
      <c r="C1008" s="3"/>
    </row>
    <row r="1009" customFormat="false" ht="15.75" hidden="false" customHeight="false" outlineLevel="0" collapsed="false">
      <c r="B1009" s="3"/>
      <c r="C1009" s="3"/>
    </row>
    <row r="1010" customFormat="false" ht="15.75" hidden="false" customHeight="false" outlineLevel="0" collapsed="false">
      <c r="B1010" s="3"/>
      <c r="C1010" s="3"/>
    </row>
    <row r="1011" customFormat="false" ht="15.75" hidden="false" customHeight="false" outlineLevel="0" collapsed="false">
      <c r="B1011" s="3"/>
      <c r="C1011" s="3"/>
    </row>
    <row r="1012" customFormat="false" ht="15.75" hidden="false" customHeight="false" outlineLevel="0" collapsed="false">
      <c r="B1012" s="3"/>
      <c r="C1012" s="3"/>
    </row>
    <row r="1013" customFormat="false" ht="15.75" hidden="false" customHeight="false" outlineLevel="0" collapsed="false">
      <c r="B1013" s="3"/>
      <c r="C1013" s="3"/>
    </row>
    <row r="1014" customFormat="false" ht="15.75" hidden="false" customHeight="false" outlineLevel="0" collapsed="false">
      <c r="B1014" s="3"/>
      <c r="C1014" s="3"/>
    </row>
    <row r="1015" customFormat="false" ht="15.75" hidden="false" customHeight="false" outlineLevel="0" collapsed="false">
      <c r="B1015" s="3"/>
      <c r="C1015" s="3"/>
    </row>
    <row r="1016" customFormat="false" ht="15.75" hidden="false" customHeight="false" outlineLevel="0" collapsed="false">
      <c r="B1016" s="3"/>
      <c r="C1016" s="3"/>
    </row>
    <row r="1017" customFormat="false" ht="15.75" hidden="false" customHeight="false" outlineLevel="0" collapsed="false">
      <c r="B1017" s="3"/>
      <c r="C1017" s="3"/>
    </row>
    <row r="1018" customFormat="false" ht="15.75" hidden="false" customHeight="false" outlineLevel="0" collapsed="false">
      <c r="B1018" s="3"/>
      <c r="C1018" s="3"/>
    </row>
    <row r="1019" customFormat="false" ht="15.75" hidden="false" customHeight="false" outlineLevel="0" collapsed="false">
      <c r="B1019" s="3"/>
      <c r="C1019" s="3"/>
    </row>
    <row r="1020" customFormat="false" ht="15.75" hidden="false" customHeight="false" outlineLevel="0" collapsed="false">
      <c r="B1020" s="3"/>
      <c r="C1020" s="3"/>
    </row>
    <row r="1021" customFormat="false" ht="15.75" hidden="false" customHeight="false" outlineLevel="0" collapsed="false">
      <c r="B1021" s="3"/>
      <c r="C1021" s="3"/>
    </row>
    <row r="1022" customFormat="false" ht="15.75" hidden="false" customHeight="false" outlineLevel="0" collapsed="false">
      <c r="B1022" s="3"/>
      <c r="C1022" s="3"/>
    </row>
    <row r="1023" customFormat="false" ht="15.75" hidden="false" customHeight="false" outlineLevel="0" collapsed="false">
      <c r="B1023" s="3"/>
      <c r="C1023" s="3"/>
    </row>
    <row r="1024" customFormat="false" ht="15.75" hidden="false" customHeight="false" outlineLevel="0" collapsed="false">
      <c r="B1024" s="3"/>
      <c r="C1024" s="3"/>
    </row>
    <row r="1025" customFormat="false" ht="15.75" hidden="false" customHeight="false" outlineLevel="0" collapsed="false">
      <c r="B1025" s="3"/>
      <c r="C1025" s="3"/>
    </row>
    <row r="1026" customFormat="false" ht="15.75" hidden="false" customHeight="false" outlineLevel="0" collapsed="false">
      <c r="B1026" s="3"/>
      <c r="C1026" s="3"/>
    </row>
    <row r="1027" customFormat="false" ht="15.75" hidden="false" customHeight="false" outlineLevel="0" collapsed="false">
      <c r="B1027" s="3"/>
      <c r="C1027" s="3"/>
    </row>
    <row r="1028" customFormat="false" ht="15.75" hidden="false" customHeight="false" outlineLevel="0" collapsed="false">
      <c r="B1028" s="3"/>
      <c r="C1028" s="3"/>
    </row>
    <row r="1029" customFormat="false" ht="15.75" hidden="false" customHeight="false" outlineLevel="0" collapsed="false">
      <c r="B1029" s="3"/>
      <c r="C1029" s="3"/>
    </row>
    <row r="1030" customFormat="false" ht="15.75" hidden="false" customHeight="false" outlineLevel="0" collapsed="false">
      <c r="B1030" s="3"/>
      <c r="C1030" s="3"/>
    </row>
    <row r="1031" customFormat="false" ht="15.75" hidden="false" customHeight="false" outlineLevel="0" collapsed="false">
      <c r="B1031" s="3"/>
      <c r="C1031" s="3"/>
    </row>
    <row r="1032" customFormat="false" ht="15.75" hidden="false" customHeight="false" outlineLevel="0" collapsed="false">
      <c r="B1032" s="3"/>
      <c r="C1032" s="3"/>
    </row>
    <row r="1033" customFormat="false" ht="15.75" hidden="false" customHeight="false" outlineLevel="0" collapsed="false">
      <c r="B1033" s="3"/>
      <c r="C1033" s="3"/>
    </row>
    <row r="1034" customFormat="false" ht="15.75" hidden="false" customHeight="false" outlineLevel="0" collapsed="false">
      <c r="B1034" s="3"/>
      <c r="C1034" s="3"/>
    </row>
    <row r="1035" customFormat="false" ht="15.75" hidden="false" customHeight="false" outlineLevel="0" collapsed="false">
      <c r="B1035" s="3"/>
      <c r="C1035" s="3"/>
    </row>
    <row r="1036" customFormat="false" ht="15.75" hidden="false" customHeight="false" outlineLevel="0" collapsed="false">
      <c r="B1036" s="3"/>
      <c r="C1036" s="3"/>
    </row>
    <row r="1037" customFormat="false" ht="15.75" hidden="false" customHeight="false" outlineLevel="0" collapsed="false">
      <c r="B1037" s="3"/>
      <c r="C1037" s="3"/>
    </row>
    <row r="1038" customFormat="false" ht="15.75" hidden="false" customHeight="false" outlineLevel="0" collapsed="false">
      <c r="B1038" s="3"/>
      <c r="C1038" s="3"/>
    </row>
    <row r="1039" customFormat="false" ht="15.75" hidden="false" customHeight="false" outlineLevel="0" collapsed="false">
      <c r="B1039" s="3"/>
      <c r="C1039" s="3"/>
    </row>
    <row r="1040" customFormat="false" ht="15.75" hidden="false" customHeight="false" outlineLevel="0" collapsed="false">
      <c r="B1040" s="3"/>
      <c r="C1040" s="3"/>
    </row>
    <row r="1041" customFormat="false" ht="15.75" hidden="false" customHeight="false" outlineLevel="0" collapsed="false">
      <c r="B1041" s="3"/>
      <c r="C1041" s="3"/>
    </row>
    <row r="1042" customFormat="false" ht="15.75" hidden="false" customHeight="false" outlineLevel="0" collapsed="false">
      <c r="B1042" s="3"/>
      <c r="C1042" s="3"/>
    </row>
    <row r="1043" customFormat="false" ht="15.75" hidden="false" customHeight="false" outlineLevel="0" collapsed="false">
      <c r="B1043" s="3"/>
      <c r="C1043" s="3"/>
    </row>
    <row r="1044" customFormat="false" ht="15.75" hidden="false" customHeight="false" outlineLevel="0" collapsed="false">
      <c r="B1044" s="3"/>
      <c r="C1044" s="3"/>
    </row>
    <row r="1045" customFormat="false" ht="15.75" hidden="false" customHeight="false" outlineLevel="0" collapsed="false">
      <c r="B1045" s="3"/>
      <c r="C1045" s="3"/>
    </row>
    <row r="1046" customFormat="false" ht="15.75" hidden="false" customHeight="false" outlineLevel="0" collapsed="false">
      <c r="B1046" s="3"/>
      <c r="C1046" s="3"/>
    </row>
    <row r="1047" customFormat="false" ht="15.75" hidden="false" customHeight="false" outlineLevel="0" collapsed="false">
      <c r="B1047" s="3"/>
      <c r="C1047" s="3"/>
    </row>
    <row r="1048" customFormat="false" ht="15.75" hidden="false" customHeight="false" outlineLevel="0" collapsed="false">
      <c r="B1048" s="3"/>
      <c r="C1048" s="3"/>
    </row>
    <row r="1049" customFormat="false" ht="15.75" hidden="false" customHeight="false" outlineLevel="0" collapsed="false">
      <c r="B1049" s="3"/>
      <c r="C1049" s="3"/>
    </row>
    <row r="1050" customFormat="false" ht="15.75" hidden="false" customHeight="false" outlineLevel="0" collapsed="false">
      <c r="B1050" s="3"/>
      <c r="C1050" s="3"/>
    </row>
    <row r="1051" customFormat="false" ht="15.75" hidden="false" customHeight="false" outlineLevel="0" collapsed="false">
      <c r="B1051" s="3"/>
      <c r="C1051" s="3"/>
    </row>
    <row r="1052" customFormat="false" ht="15.75" hidden="false" customHeight="false" outlineLevel="0" collapsed="false">
      <c r="B1052" s="3"/>
      <c r="C1052" s="3"/>
    </row>
    <row r="1053" customFormat="false" ht="15.75" hidden="false" customHeight="false" outlineLevel="0" collapsed="false">
      <c r="B1053" s="3"/>
      <c r="C1053" s="3"/>
    </row>
    <row r="1054" customFormat="false" ht="15.75" hidden="false" customHeight="false" outlineLevel="0" collapsed="false">
      <c r="B1054" s="3"/>
      <c r="C1054" s="3"/>
    </row>
    <row r="1055" customFormat="false" ht="15.75" hidden="false" customHeight="false" outlineLevel="0" collapsed="false">
      <c r="B1055" s="3"/>
      <c r="C1055" s="3"/>
    </row>
    <row r="1056" customFormat="false" ht="15.75" hidden="false" customHeight="false" outlineLevel="0" collapsed="false">
      <c r="B1056" s="3"/>
      <c r="C1056" s="3"/>
    </row>
    <row r="1057" customFormat="false" ht="15.75" hidden="false" customHeight="false" outlineLevel="0" collapsed="false">
      <c r="B1057" s="3"/>
      <c r="C1057" s="3"/>
    </row>
    <row r="1058" customFormat="false" ht="15.75" hidden="false" customHeight="false" outlineLevel="0" collapsed="false">
      <c r="B1058" s="3"/>
      <c r="C1058" s="3"/>
    </row>
    <row r="1059" customFormat="false" ht="15.75" hidden="false" customHeight="false" outlineLevel="0" collapsed="false">
      <c r="B1059" s="3"/>
      <c r="C1059" s="3"/>
    </row>
    <row r="1060" customFormat="false" ht="15.75" hidden="false" customHeight="false" outlineLevel="0" collapsed="false">
      <c r="B1060" s="3"/>
      <c r="C1060" s="3"/>
    </row>
    <row r="1061" customFormat="false" ht="15.75" hidden="false" customHeight="false" outlineLevel="0" collapsed="false">
      <c r="B1061" s="3"/>
      <c r="C1061" s="3"/>
    </row>
    <row r="1062" customFormat="false" ht="15.75" hidden="false" customHeight="false" outlineLevel="0" collapsed="false">
      <c r="B1062" s="3"/>
      <c r="C1062" s="3"/>
    </row>
    <row r="1063" customFormat="false" ht="15.75" hidden="false" customHeight="false" outlineLevel="0" collapsed="false">
      <c r="B1063" s="3"/>
      <c r="C1063" s="3"/>
    </row>
    <row r="1064" customFormat="false" ht="15.75" hidden="false" customHeight="false" outlineLevel="0" collapsed="false">
      <c r="B1064" s="3"/>
      <c r="C1064" s="3"/>
    </row>
    <row r="1065" customFormat="false" ht="15.75" hidden="false" customHeight="false" outlineLevel="0" collapsed="false">
      <c r="B1065" s="3"/>
      <c r="C1065" s="3"/>
    </row>
    <row r="1066" customFormat="false" ht="15.75" hidden="false" customHeight="false" outlineLevel="0" collapsed="false">
      <c r="B1066" s="3"/>
      <c r="C1066" s="3"/>
    </row>
    <row r="1067" customFormat="false" ht="15.75" hidden="false" customHeight="false" outlineLevel="0" collapsed="false">
      <c r="B1067" s="3"/>
      <c r="C1067" s="3"/>
    </row>
    <row r="1068" customFormat="false" ht="15.75" hidden="false" customHeight="false" outlineLevel="0" collapsed="false">
      <c r="B1068" s="3"/>
      <c r="C1068" s="3"/>
    </row>
    <row r="1069" customFormat="false" ht="15.75" hidden="false" customHeight="false" outlineLevel="0" collapsed="false">
      <c r="B1069" s="3"/>
      <c r="C1069" s="3"/>
    </row>
    <row r="1070" customFormat="false" ht="15.75" hidden="false" customHeight="false" outlineLevel="0" collapsed="false">
      <c r="B1070" s="3"/>
      <c r="C1070" s="3"/>
    </row>
    <row r="1071" customFormat="false" ht="15.75" hidden="false" customHeight="false" outlineLevel="0" collapsed="false">
      <c r="B1071" s="3"/>
      <c r="C1071" s="3"/>
    </row>
    <row r="1072" customFormat="false" ht="15.75" hidden="false" customHeight="false" outlineLevel="0" collapsed="false">
      <c r="B1072" s="3"/>
      <c r="C1072" s="3"/>
    </row>
    <row r="1073" customFormat="false" ht="15.75" hidden="false" customHeight="false" outlineLevel="0" collapsed="false">
      <c r="B1073" s="3"/>
      <c r="C1073" s="3"/>
    </row>
    <row r="1074" customFormat="false" ht="15.75" hidden="false" customHeight="false" outlineLevel="0" collapsed="false">
      <c r="B1074" s="3"/>
      <c r="C1074" s="3"/>
    </row>
    <row r="1075" customFormat="false" ht="15.75" hidden="false" customHeight="false" outlineLevel="0" collapsed="false">
      <c r="B1075" s="3"/>
      <c r="C1075" s="3"/>
    </row>
    <row r="1076" customFormat="false" ht="15.75" hidden="false" customHeight="false" outlineLevel="0" collapsed="false">
      <c r="B1076" s="3"/>
      <c r="C1076" s="3"/>
    </row>
    <row r="1077" customFormat="false" ht="15.75" hidden="false" customHeight="false" outlineLevel="0" collapsed="false">
      <c r="B1077" s="3"/>
      <c r="C1077" s="3"/>
    </row>
    <row r="1078" customFormat="false" ht="15.75" hidden="false" customHeight="false" outlineLevel="0" collapsed="false">
      <c r="B1078" s="3"/>
      <c r="C1078" s="3"/>
    </row>
    <row r="1079" customFormat="false" ht="15.75" hidden="false" customHeight="false" outlineLevel="0" collapsed="false">
      <c r="B1079" s="3"/>
      <c r="C1079" s="3"/>
    </row>
    <row r="1080" customFormat="false" ht="15.75" hidden="false" customHeight="false" outlineLevel="0" collapsed="false">
      <c r="B1080" s="3"/>
      <c r="C1080" s="3"/>
    </row>
    <row r="1081" customFormat="false" ht="15.75" hidden="false" customHeight="false" outlineLevel="0" collapsed="false">
      <c r="B1081" s="3"/>
      <c r="C1081" s="3"/>
    </row>
    <row r="1082" customFormat="false" ht="15.75" hidden="false" customHeight="false" outlineLevel="0" collapsed="false">
      <c r="B1082" s="3"/>
      <c r="C1082" s="3"/>
    </row>
    <row r="1083" customFormat="false" ht="15.75" hidden="false" customHeight="false" outlineLevel="0" collapsed="false">
      <c r="B1083" s="3"/>
      <c r="C1083" s="3"/>
    </row>
    <row r="1084" customFormat="false" ht="15.75" hidden="false" customHeight="false" outlineLevel="0" collapsed="false">
      <c r="B1084" s="3"/>
      <c r="C1084" s="3"/>
    </row>
    <row r="1085" customFormat="false" ht="15.75" hidden="false" customHeight="false" outlineLevel="0" collapsed="false">
      <c r="B1085" s="3"/>
      <c r="C1085" s="3"/>
    </row>
    <row r="1086" customFormat="false" ht="15.75" hidden="false" customHeight="false" outlineLevel="0" collapsed="false">
      <c r="B1086" s="3"/>
      <c r="C1086" s="3"/>
    </row>
    <row r="1087" customFormat="false" ht="15.75" hidden="false" customHeight="false" outlineLevel="0" collapsed="false">
      <c r="B1087" s="3"/>
      <c r="C1087" s="3"/>
    </row>
    <row r="1088" customFormat="false" ht="15.75" hidden="false" customHeight="false" outlineLevel="0" collapsed="false">
      <c r="B1088" s="3"/>
      <c r="C1088" s="3"/>
    </row>
    <row r="1089" customFormat="false" ht="15.75" hidden="false" customHeight="false" outlineLevel="0" collapsed="false">
      <c r="B1089" s="3"/>
      <c r="C1089" s="3"/>
    </row>
    <row r="1090" customFormat="false" ht="15.75" hidden="false" customHeight="false" outlineLevel="0" collapsed="false">
      <c r="B1090" s="3"/>
      <c r="C1090" s="3"/>
    </row>
    <row r="1091" customFormat="false" ht="15.75" hidden="false" customHeight="false" outlineLevel="0" collapsed="false">
      <c r="B1091" s="3"/>
      <c r="C1091" s="3"/>
    </row>
    <row r="1092" customFormat="false" ht="15.75" hidden="false" customHeight="false" outlineLevel="0" collapsed="false">
      <c r="B1092" s="3"/>
      <c r="C1092" s="3"/>
    </row>
    <row r="1093" customFormat="false" ht="15.75" hidden="false" customHeight="false" outlineLevel="0" collapsed="false">
      <c r="B1093" s="3"/>
      <c r="C1093" s="3"/>
    </row>
    <row r="1094" customFormat="false" ht="15.75" hidden="false" customHeight="false" outlineLevel="0" collapsed="false">
      <c r="B1094" s="3"/>
      <c r="C1094" s="3"/>
    </row>
    <row r="1095" customFormat="false" ht="15.75" hidden="false" customHeight="false" outlineLevel="0" collapsed="false">
      <c r="B1095" s="3"/>
      <c r="C1095" s="3"/>
    </row>
    <row r="1096" customFormat="false" ht="15.75" hidden="false" customHeight="false" outlineLevel="0" collapsed="false">
      <c r="B1096" s="3"/>
      <c r="C1096" s="3"/>
    </row>
    <row r="1097" customFormat="false" ht="15.75" hidden="false" customHeight="false" outlineLevel="0" collapsed="false">
      <c r="B1097" s="3"/>
      <c r="C1097" s="3"/>
    </row>
    <row r="1098" customFormat="false" ht="15.75" hidden="false" customHeight="false" outlineLevel="0" collapsed="false">
      <c r="B1098" s="3"/>
      <c r="C1098" s="3"/>
    </row>
    <row r="1099" customFormat="false" ht="15.75" hidden="false" customHeight="false" outlineLevel="0" collapsed="false">
      <c r="B1099" s="3"/>
      <c r="C1099" s="3"/>
    </row>
    <row r="1100" customFormat="false" ht="15.75" hidden="false" customHeight="false" outlineLevel="0" collapsed="false">
      <c r="B1100" s="3"/>
      <c r="C1100" s="3"/>
    </row>
    <row r="1101" customFormat="false" ht="15.75" hidden="false" customHeight="false" outlineLevel="0" collapsed="false">
      <c r="B1101" s="3"/>
      <c r="C1101" s="3"/>
    </row>
    <row r="1102" customFormat="false" ht="15.75" hidden="false" customHeight="false" outlineLevel="0" collapsed="false">
      <c r="B1102" s="3"/>
      <c r="C1102" s="3"/>
    </row>
    <row r="1103" customFormat="false" ht="15.75" hidden="false" customHeight="false" outlineLevel="0" collapsed="false">
      <c r="B1103" s="3"/>
      <c r="C1103" s="3"/>
    </row>
    <row r="1104" customFormat="false" ht="15.75" hidden="false" customHeight="false" outlineLevel="0" collapsed="false">
      <c r="B1104" s="3"/>
      <c r="C1104" s="3"/>
    </row>
    <row r="1105" customFormat="false" ht="15.75" hidden="false" customHeight="false" outlineLevel="0" collapsed="false">
      <c r="B1105" s="3"/>
      <c r="C1105" s="3"/>
    </row>
    <row r="1106" customFormat="false" ht="15.75" hidden="false" customHeight="false" outlineLevel="0" collapsed="false">
      <c r="B1106" s="3"/>
      <c r="C1106" s="3"/>
    </row>
    <row r="1107" customFormat="false" ht="15.75" hidden="false" customHeight="false" outlineLevel="0" collapsed="false">
      <c r="B1107" s="3"/>
      <c r="C1107" s="3"/>
    </row>
    <row r="1108" customFormat="false" ht="15.75" hidden="false" customHeight="false" outlineLevel="0" collapsed="false">
      <c r="B1108" s="3"/>
      <c r="C1108" s="3"/>
    </row>
    <row r="1109" customFormat="false" ht="15.75" hidden="false" customHeight="false" outlineLevel="0" collapsed="false">
      <c r="B1109" s="3"/>
      <c r="C1109" s="3"/>
    </row>
    <row r="1110" customFormat="false" ht="15.75" hidden="false" customHeight="false" outlineLevel="0" collapsed="false">
      <c r="B1110" s="3"/>
      <c r="C1110" s="3"/>
    </row>
    <row r="1111" customFormat="false" ht="15.75" hidden="false" customHeight="false" outlineLevel="0" collapsed="false">
      <c r="B1111" s="3"/>
      <c r="C1111" s="3"/>
    </row>
    <row r="1112" customFormat="false" ht="15.75" hidden="false" customHeight="false" outlineLevel="0" collapsed="false">
      <c r="B1112" s="3"/>
      <c r="C1112" s="3"/>
    </row>
    <row r="1113" customFormat="false" ht="15.75" hidden="false" customHeight="false" outlineLevel="0" collapsed="false">
      <c r="B1113" s="3"/>
      <c r="C1113" s="3"/>
    </row>
    <row r="1114" customFormat="false" ht="15.75" hidden="false" customHeight="false" outlineLevel="0" collapsed="false">
      <c r="B1114" s="3"/>
      <c r="C1114" s="3"/>
    </row>
    <row r="1115" customFormat="false" ht="15.75" hidden="false" customHeight="false" outlineLevel="0" collapsed="false">
      <c r="B1115" s="3"/>
      <c r="C1115" s="3"/>
    </row>
    <row r="1116" customFormat="false" ht="15.75" hidden="false" customHeight="false" outlineLevel="0" collapsed="false">
      <c r="B1116" s="3"/>
      <c r="C1116" s="3"/>
    </row>
    <row r="1117" customFormat="false" ht="15.75" hidden="false" customHeight="false" outlineLevel="0" collapsed="false">
      <c r="B1117" s="3"/>
      <c r="C1117" s="3"/>
    </row>
    <row r="1118" customFormat="false" ht="15.75" hidden="false" customHeight="false" outlineLevel="0" collapsed="false">
      <c r="B1118" s="3"/>
      <c r="C1118" s="3"/>
    </row>
    <row r="1119" customFormat="false" ht="15.75" hidden="false" customHeight="false" outlineLevel="0" collapsed="false">
      <c r="B1119" s="3"/>
      <c r="C1119" s="3"/>
    </row>
    <row r="1120" customFormat="false" ht="15.75" hidden="false" customHeight="false" outlineLevel="0" collapsed="false">
      <c r="B1120" s="3"/>
      <c r="C1120" s="3"/>
    </row>
    <row r="1121" customFormat="false" ht="15.75" hidden="false" customHeight="false" outlineLevel="0" collapsed="false">
      <c r="B1121" s="3"/>
      <c r="C1121" s="3"/>
    </row>
    <row r="1122" customFormat="false" ht="15.75" hidden="false" customHeight="false" outlineLevel="0" collapsed="false">
      <c r="B1122" s="3"/>
      <c r="C1122" s="3"/>
    </row>
    <row r="1123" customFormat="false" ht="15.75" hidden="false" customHeight="false" outlineLevel="0" collapsed="false">
      <c r="B1123" s="3"/>
      <c r="C1123" s="3"/>
    </row>
    <row r="1124" customFormat="false" ht="15.75" hidden="false" customHeight="false" outlineLevel="0" collapsed="false">
      <c r="B1124" s="3"/>
      <c r="C1124" s="3"/>
    </row>
    <row r="1125" customFormat="false" ht="15.75" hidden="false" customHeight="false" outlineLevel="0" collapsed="false">
      <c r="B1125" s="3"/>
      <c r="C1125" s="3"/>
    </row>
    <row r="1126" customFormat="false" ht="15.75" hidden="false" customHeight="false" outlineLevel="0" collapsed="false">
      <c r="B1126" s="3"/>
      <c r="C1126" s="3"/>
    </row>
    <row r="1127" customFormat="false" ht="15.75" hidden="false" customHeight="false" outlineLevel="0" collapsed="false">
      <c r="B1127" s="3"/>
      <c r="C1127" s="3"/>
    </row>
    <row r="1128" customFormat="false" ht="15.75" hidden="false" customHeight="false" outlineLevel="0" collapsed="false">
      <c r="B1128" s="3"/>
      <c r="C1128" s="3"/>
    </row>
    <row r="1129" customFormat="false" ht="15.75" hidden="false" customHeight="false" outlineLevel="0" collapsed="false">
      <c r="B1129" s="3"/>
      <c r="C1129" s="3"/>
    </row>
    <row r="1130" customFormat="false" ht="15.75" hidden="false" customHeight="false" outlineLevel="0" collapsed="false">
      <c r="B1130" s="3"/>
      <c r="C1130" s="3"/>
    </row>
    <row r="1131" customFormat="false" ht="15.75" hidden="false" customHeight="false" outlineLevel="0" collapsed="false">
      <c r="B1131" s="3"/>
      <c r="C1131" s="3"/>
    </row>
    <row r="1132" customFormat="false" ht="15.75" hidden="false" customHeight="false" outlineLevel="0" collapsed="false">
      <c r="B1132" s="3"/>
      <c r="C1132" s="3"/>
    </row>
    <row r="1133" customFormat="false" ht="15.75" hidden="false" customHeight="false" outlineLevel="0" collapsed="false">
      <c r="B1133" s="3"/>
      <c r="C1133" s="3"/>
    </row>
    <row r="1134" customFormat="false" ht="15.75" hidden="false" customHeight="false" outlineLevel="0" collapsed="false">
      <c r="B1134" s="3"/>
      <c r="C1134" s="3"/>
    </row>
    <row r="1135" customFormat="false" ht="15.75" hidden="false" customHeight="false" outlineLevel="0" collapsed="false">
      <c r="B1135" s="3"/>
      <c r="C1135" s="3"/>
    </row>
    <row r="1136" customFormat="false" ht="15.75" hidden="false" customHeight="false" outlineLevel="0" collapsed="false">
      <c r="B1136" s="3"/>
      <c r="C1136" s="3"/>
    </row>
    <row r="1137" customFormat="false" ht="15.75" hidden="false" customHeight="false" outlineLevel="0" collapsed="false">
      <c r="B1137" s="3"/>
      <c r="C1137" s="3"/>
    </row>
    <row r="1138" customFormat="false" ht="15.75" hidden="false" customHeight="false" outlineLevel="0" collapsed="false">
      <c r="B1138" s="3"/>
      <c r="C1138" s="3"/>
    </row>
    <row r="1139" customFormat="false" ht="15.75" hidden="false" customHeight="false" outlineLevel="0" collapsed="false">
      <c r="B1139" s="3"/>
      <c r="C1139" s="3"/>
    </row>
    <row r="1140" customFormat="false" ht="15.75" hidden="false" customHeight="false" outlineLevel="0" collapsed="false">
      <c r="B1140" s="3"/>
      <c r="C1140" s="3"/>
    </row>
    <row r="1141" customFormat="false" ht="15.75" hidden="false" customHeight="false" outlineLevel="0" collapsed="false">
      <c r="B1141" s="3"/>
      <c r="C1141" s="3"/>
    </row>
    <row r="1142" customFormat="false" ht="15.75" hidden="false" customHeight="false" outlineLevel="0" collapsed="false">
      <c r="B1142" s="3"/>
      <c r="C1142" s="3"/>
    </row>
    <row r="1143" customFormat="false" ht="15.75" hidden="false" customHeight="false" outlineLevel="0" collapsed="false">
      <c r="B1143" s="3"/>
      <c r="C1143" s="3"/>
    </row>
    <row r="1144" customFormat="false" ht="15.75" hidden="false" customHeight="false" outlineLevel="0" collapsed="false">
      <c r="B1144" s="3"/>
      <c r="C1144" s="3"/>
    </row>
    <row r="1145" customFormat="false" ht="15.75" hidden="false" customHeight="false" outlineLevel="0" collapsed="false">
      <c r="B1145" s="3"/>
      <c r="C1145" s="3"/>
    </row>
    <row r="1146" customFormat="false" ht="15.75" hidden="false" customHeight="false" outlineLevel="0" collapsed="false">
      <c r="B1146" s="3"/>
      <c r="C1146" s="3"/>
    </row>
    <row r="1147" customFormat="false" ht="15.75" hidden="false" customHeight="false" outlineLevel="0" collapsed="false">
      <c r="B1147" s="3"/>
      <c r="C1147" s="3"/>
    </row>
    <row r="1148" customFormat="false" ht="15.75" hidden="false" customHeight="false" outlineLevel="0" collapsed="false">
      <c r="B1148" s="3"/>
      <c r="C1148" s="3"/>
    </row>
    <row r="1149" customFormat="false" ht="15.75" hidden="false" customHeight="false" outlineLevel="0" collapsed="false">
      <c r="B1149" s="3"/>
      <c r="C1149" s="3"/>
    </row>
    <row r="1150" customFormat="false" ht="15.75" hidden="false" customHeight="false" outlineLevel="0" collapsed="false">
      <c r="B1150" s="3"/>
      <c r="C1150" s="3"/>
    </row>
    <row r="1151" customFormat="false" ht="15.75" hidden="false" customHeight="false" outlineLevel="0" collapsed="false">
      <c r="B1151" s="3"/>
      <c r="C1151" s="3"/>
    </row>
    <row r="1152" customFormat="false" ht="15.75" hidden="false" customHeight="false" outlineLevel="0" collapsed="false">
      <c r="B1152" s="3"/>
      <c r="C1152" s="3"/>
    </row>
    <row r="1153" customFormat="false" ht="15.75" hidden="false" customHeight="false" outlineLevel="0" collapsed="false">
      <c r="B1153" s="3"/>
      <c r="C1153" s="3"/>
    </row>
    <row r="1154" customFormat="false" ht="15.75" hidden="false" customHeight="false" outlineLevel="0" collapsed="false">
      <c r="B1154" s="3"/>
      <c r="C1154" s="3"/>
    </row>
    <row r="1155" customFormat="false" ht="15.75" hidden="false" customHeight="false" outlineLevel="0" collapsed="false">
      <c r="B1155" s="3"/>
      <c r="C1155" s="3"/>
    </row>
    <row r="1156" customFormat="false" ht="15.75" hidden="false" customHeight="false" outlineLevel="0" collapsed="false">
      <c r="B1156" s="3"/>
      <c r="C1156" s="3"/>
    </row>
    <row r="1157" customFormat="false" ht="15.75" hidden="false" customHeight="false" outlineLevel="0" collapsed="false">
      <c r="B1157" s="3"/>
      <c r="C1157" s="3"/>
    </row>
    <row r="1158" customFormat="false" ht="15.75" hidden="false" customHeight="false" outlineLevel="0" collapsed="false">
      <c r="B1158" s="3"/>
      <c r="C1158" s="3"/>
    </row>
    <row r="1159" customFormat="false" ht="15.75" hidden="false" customHeight="false" outlineLevel="0" collapsed="false">
      <c r="B1159" s="3"/>
      <c r="C1159" s="3"/>
    </row>
    <row r="1160" customFormat="false" ht="15.75" hidden="false" customHeight="false" outlineLevel="0" collapsed="false">
      <c r="B1160" s="3"/>
      <c r="C1160" s="3"/>
    </row>
    <row r="1161" customFormat="false" ht="15.75" hidden="false" customHeight="false" outlineLevel="0" collapsed="false">
      <c r="B1161" s="3"/>
      <c r="C1161" s="3"/>
    </row>
    <row r="1162" customFormat="false" ht="15.75" hidden="false" customHeight="false" outlineLevel="0" collapsed="false">
      <c r="B1162" s="3"/>
      <c r="C1162" s="3"/>
    </row>
    <row r="1163" customFormat="false" ht="15.75" hidden="false" customHeight="false" outlineLevel="0" collapsed="false">
      <c r="B1163" s="3"/>
      <c r="C1163" s="3"/>
    </row>
    <row r="1164" customFormat="false" ht="15.75" hidden="false" customHeight="false" outlineLevel="0" collapsed="false">
      <c r="B1164" s="3"/>
      <c r="C1164" s="3"/>
    </row>
    <row r="1165" customFormat="false" ht="15.75" hidden="false" customHeight="false" outlineLevel="0" collapsed="false">
      <c r="B1165" s="3"/>
      <c r="C1165" s="3"/>
    </row>
    <row r="1166" customFormat="false" ht="15.75" hidden="false" customHeight="false" outlineLevel="0" collapsed="false">
      <c r="B1166" s="3"/>
      <c r="C1166" s="3"/>
    </row>
    <row r="1167" customFormat="false" ht="15.75" hidden="false" customHeight="false" outlineLevel="0" collapsed="false">
      <c r="B1167" s="3"/>
      <c r="C1167" s="3"/>
    </row>
    <row r="1168" customFormat="false" ht="15.75" hidden="false" customHeight="false" outlineLevel="0" collapsed="false">
      <c r="B1168" s="3"/>
      <c r="C1168" s="3"/>
    </row>
    <row r="1169" customFormat="false" ht="15.75" hidden="false" customHeight="false" outlineLevel="0" collapsed="false">
      <c r="B1169" s="3"/>
      <c r="C1169" s="3"/>
    </row>
    <row r="1170" customFormat="false" ht="15.75" hidden="false" customHeight="false" outlineLevel="0" collapsed="false">
      <c r="B1170" s="3"/>
      <c r="C1170" s="3"/>
    </row>
    <row r="1171" customFormat="false" ht="15.75" hidden="false" customHeight="false" outlineLevel="0" collapsed="false">
      <c r="B1171" s="3"/>
      <c r="C1171" s="3"/>
    </row>
    <row r="1172" customFormat="false" ht="15.75" hidden="false" customHeight="false" outlineLevel="0" collapsed="false">
      <c r="B1172" s="3"/>
      <c r="C1172" s="3"/>
    </row>
    <row r="1173" customFormat="false" ht="15.75" hidden="false" customHeight="false" outlineLevel="0" collapsed="false">
      <c r="B1173" s="3"/>
      <c r="C1173" s="3"/>
    </row>
    <row r="1174" customFormat="false" ht="15.75" hidden="false" customHeight="false" outlineLevel="0" collapsed="false">
      <c r="B1174" s="3"/>
      <c r="C1174" s="3"/>
    </row>
    <row r="1175" customFormat="false" ht="15.75" hidden="false" customHeight="false" outlineLevel="0" collapsed="false">
      <c r="B1175" s="3"/>
      <c r="C1175" s="3"/>
    </row>
    <row r="1176" customFormat="false" ht="15.75" hidden="false" customHeight="false" outlineLevel="0" collapsed="false">
      <c r="B1176" s="3"/>
      <c r="C1176" s="3"/>
    </row>
    <row r="1177" customFormat="false" ht="15.75" hidden="false" customHeight="false" outlineLevel="0" collapsed="false">
      <c r="B1177" s="3"/>
      <c r="C1177" s="3"/>
    </row>
    <row r="1178" customFormat="false" ht="15.75" hidden="false" customHeight="false" outlineLevel="0" collapsed="false">
      <c r="B1178" s="3"/>
      <c r="C1178" s="3"/>
    </row>
    <row r="1179" customFormat="false" ht="15.75" hidden="false" customHeight="false" outlineLevel="0" collapsed="false">
      <c r="B1179" s="3"/>
      <c r="C1179" s="3"/>
    </row>
    <row r="1180" customFormat="false" ht="15.75" hidden="false" customHeight="false" outlineLevel="0" collapsed="false">
      <c r="B1180" s="3"/>
      <c r="C1180" s="3"/>
    </row>
    <row r="1181" customFormat="false" ht="15.75" hidden="false" customHeight="false" outlineLevel="0" collapsed="false">
      <c r="B1181" s="3"/>
      <c r="C1181" s="3"/>
    </row>
    <row r="1182" customFormat="false" ht="15.75" hidden="false" customHeight="false" outlineLevel="0" collapsed="false">
      <c r="B1182" s="3"/>
      <c r="C1182" s="3"/>
    </row>
    <row r="1183" customFormat="false" ht="15.75" hidden="false" customHeight="false" outlineLevel="0" collapsed="false">
      <c r="B1183" s="3"/>
      <c r="C1183" s="3"/>
    </row>
    <row r="1184" customFormat="false" ht="15.75" hidden="false" customHeight="false" outlineLevel="0" collapsed="false">
      <c r="B1184" s="3"/>
      <c r="C1184" s="3"/>
    </row>
    <row r="1185" customFormat="false" ht="15.75" hidden="false" customHeight="false" outlineLevel="0" collapsed="false">
      <c r="B1185" s="3"/>
      <c r="C1185" s="3"/>
    </row>
    <row r="1186" customFormat="false" ht="15.75" hidden="false" customHeight="false" outlineLevel="0" collapsed="false">
      <c r="B1186" s="3"/>
      <c r="C1186" s="3"/>
    </row>
    <row r="1187" customFormat="false" ht="15.75" hidden="false" customHeight="false" outlineLevel="0" collapsed="false">
      <c r="B1187" s="3"/>
      <c r="C1187" s="3"/>
    </row>
    <row r="1188" customFormat="false" ht="15.75" hidden="false" customHeight="false" outlineLevel="0" collapsed="false">
      <c r="B1188" s="3"/>
      <c r="C1188" s="3"/>
    </row>
    <row r="1189" customFormat="false" ht="15.75" hidden="false" customHeight="false" outlineLevel="0" collapsed="false">
      <c r="B1189" s="3"/>
      <c r="C1189" s="3"/>
    </row>
    <row r="1190" customFormat="false" ht="15.75" hidden="false" customHeight="false" outlineLevel="0" collapsed="false">
      <c r="B1190" s="3"/>
      <c r="C1190" s="3"/>
    </row>
    <row r="1191" customFormat="false" ht="15.75" hidden="false" customHeight="false" outlineLevel="0" collapsed="false">
      <c r="B1191" s="3"/>
      <c r="C1191" s="3"/>
    </row>
    <row r="1192" customFormat="false" ht="15.75" hidden="false" customHeight="false" outlineLevel="0" collapsed="false">
      <c r="B1192" s="3"/>
      <c r="C1192" s="3"/>
    </row>
    <row r="1193" customFormat="false" ht="15.75" hidden="false" customHeight="false" outlineLevel="0" collapsed="false">
      <c r="B1193" s="3"/>
      <c r="C1193" s="3"/>
    </row>
    <row r="1194" customFormat="false" ht="15.75" hidden="false" customHeight="false" outlineLevel="0" collapsed="false">
      <c r="B1194" s="3"/>
      <c r="C1194" s="3"/>
    </row>
    <row r="1195" customFormat="false" ht="15.75" hidden="false" customHeight="false" outlineLevel="0" collapsed="false">
      <c r="B1195" s="3"/>
      <c r="C1195" s="3"/>
    </row>
    <row r="1196" customFormat="false" ht="15.75" hidden="false" customHeight="false" outlineLevel="0" collapsed="false">
      <c r="B1196" s="3"/>
      <c r="C1196" s="3"/>
    </row>
    <row r="1197" customFormat="false" ht="15.75" hidden="false" customHeight="false" outlineLevel="0" collapsed="false">
      <c r="B1197" s="3"/>
      <c r="C1197" s="3"/>
    </row>
    <row r="1198" customFormat="false" ht="15.75" hidden="false" customHeight="false" outlineLevel="0" collapsed="false">
      <c r="B1198" s="3"/>
      <c r="C1198" s="3"/>
    </row>
    <row r="1199" customFormat="false" ht="15.75" hidden="false" customHeight="false" outlineLevel="0" collapsed="false">
      <c r="B1199" s="3"/>
      <c r="C1199" s="3"/>
    </row>
    <row r="1200" customFormat="false" ht="15.75" hidden="false" customHeight="false" outlineLevel="0" collapsed="false">
      <c r="B1200" s="3"/>
      <c r="C1200" s="3"/>
    </row>
    <row r="1201" customFormat="false" ht="15.75" hidden="false" customHeight="false" outlineLevel="0" collapsed="false">
      <c r="B1201" s="3"/>
      <c r="C1201" s="3"/>
    </row>
    <row r="1202" customFormat="false" ht="15.75" hidden="false" customHeight="false" outlineLevel="0" collapsed="false">
      <c r="B1202" s="3"/>
      <c r="C1202" s="3"/>
    </row>
    <row r="1203" customFormat="false" ht="15.75" hidden="false" customHeight="false" outlineLevel="0" collapsed="false">
      <c r="B1203" s="3"/>
      <c r="C1203" s="3"/>
    </row>
    <row r="1204" customFormat="false" ht="15.75" hidden="false" customHeight="false" outlineLevel="0" collapsed="false">
      <c r="B1204" s="3"/>
      <c r="C1204" s="3"/>
    </row>
    <row r="1205" customFormat="false" ht="15.75" hidden="false" customHeight="false" outlineLevel="0" collapsed="false">
      <c r="B1205" s="3"/>
      <c r="C1205" s="3"/>
    </row>
    <row r="1206" customFormat="false" ht="15.75" hidden="false" customHeight="false" outlineLevel="0" collapsed="false">
      <c r="B1206" s="3"/>
      <c r="C1206" s="3"/>
    </row>
    <row r="1207" customFormat="false" ht="15.75" hidden="false" customHeight="false" outlineLevel="0" collapsed="false">
      <c r="B1207" s="3"/>
      <c r="C1207" s="3"/>
    </row>
    <row r="1208" customFormat="false" ht="15.75" hidden="false" customHeight="false" outlineLevel="0" collapsed="false">
      <c r="B1208" s="3"/>
      <c r="C1208" s="3"/>
    </row>
    <row r="1209" customFormat="false" ht="15.75" hidden="false" customHeight="false" outlineLevel="0" collapsed="false">
      <c r="B1209" s="3"/>
      <c r="C1209" s="3"/>
    </row>
    <row r="1210" customFormat="false" ht="15.75" hidden="false" customHeight="false" outlineLevel="0" collapsed="false">
      <c r="B1210" s="3"/>
      <c r="C1210" s="3"/>
    </row>
    <row r="1211" customFormat="false" ht="15.75" hidden="false" customHeight="false" outlineLevel="0" collapsed="false">
      <c r="B1211" s="3"/>
      <c r="C1211" s="3"/>
    </row>
    <row r="1212" customFormat="false" ht="15.75" hidden="false" customHeight="false" outlineLevel="0" collapsed="false">
      <c r="B1212" s="3"/>
      <c r="C1212" s="3"/>
    </row>
    <row r="1213" customFormat="false" ht="15.75" hidden="false" customHeight="false" outlineLevel="0" collapsed="false">
      <c r="B1213" s="3"/>
      <c r="C1213" s="3"/>
    </row>
    <row r="1214" customFormat="false" ht="15.75" hidden="false" customHeight="false" outlineLevel="0" collapsed="false">
      <c r="B1214" s="3"/>
      <c r="C1214" s="3"/>
    </row>
    <row r="1215" customFormat="false" ht="15.75" hidden="false" customHeight="false" outlineLevel="0" collapsed="false">
      <c r="B1215" s="3"/>
      <c r="C1215" s="3"/>
    </row>
    <row r="1216" customFormat="false" ht="15.75" hidden="false" customHeight="false" outlineLevel="0" collapsed="false">
      <c r="B1216" s="3"/>
      <c r="C1216" s="3"/>
    </row>
    <row r="1217" customFormat="false" ht="15.75" hidden="false" customHeight="false" outlineLevel="0" collapsed="false">
      <c r="B1217" s="3"/>
      <c r="C1217" s="3"/>
    </row>
    <row r="1218" customFormat="false" ht="15.75" hidden="false" customHeight="false" outlineLevel="0" collapsed="false">
      <c r="B1218" s="3"/>
      <c r="C1218" s="3"/>
    </row>
    <row r="1219" customFormat="false" ht="15.75" hidden="false" customHeight="false" outlineLevel="0" collapsed="false">
      <c r="B1219" s="3"/>
      <c r="C1219" s="3"/>
    </row>
    <row r="1220" customFormat="false" ht="15.75" hidden="false" customHeight="false" outlineLevel="0" collapsed="false">
      <c r="B1220" s="3"/>
      <c r="C1220" s="3"/>
    </row>
    <row r="1221" customFormat="false" ht="15.75" hidden="false" customHeight="false" outlineLevel="0" collapsed="false">
      <c r="B1221" s="3"/>
      <c r="C1221" s="3"/>
    </row>
    <row r="1222" customFormat="false" ht="15.75" hidden="false" customHeight="false" outlineLevel="0" collapsed="false">
      <c r="B1222" s="3"/>
      <c r="C1222" s="3"/>
    </row>
    <row r="1223" customFormat="false" ht="15.75" hidden="false" customHeight="false" outlineLevel="0" collapsed="false">
      <c r="B1223" s="3"/>
      <c r="C1223" s="3"/>
    </row>
    <row r="1224" customFormat="false" ht="15.75" hidden="false" customHeight="false" outlineLevel="0" collapsed="false">
      <c r="B1224" s="3"/>
      <c r="C1224" s="3"/>
    </row>
    <row r="1225" customFormat="false" ht="15.75" hidden="false" customHeight="false" outlineLevel="0" collapsed="false">
      <c r="B1225" s="3"/>
      <c r="C1225" s="3"/>
    </row>
    <row r="1226" customFormat="false" ht="15.75" hidden="false" customHeight="false" outlineLevel="0" collapsed="false">
      <c r="B1226" s="3"/>
      <c r="C1226" s="3"/>
    </row>
    <row r="1227" customFormat="false" ht="15.75" hidden="false" customHeight="false" outlineLevel="0" collapsed="false">
      <c r="B1227" s="3"/>
      <c r="C1227" s="3"/>
    </row>
    <row r="1228" customFormat="false" ht="15.75" hidden="false" customHeight="false" outlineLevel="0" collapsed="false">
      <c r="B1228" s="3"/>
      <c r="C1228" s="3"/>
    </row>
    <row r="1229" customFormat="false" ht="15.75" hidden="false" customHeight="false" outlineLevel="0" collapsed="false">
      <c r="B1229" s="3"/>
      <c r="C1229" s="3"/>
    </row>
    <row r="1230" customFormat="false" ht="15.75" hidden="false" customHeight="false" outlineLevel="0" collapsed="false">
      <c r="B1230" s="3"/>
      <c r="C1230" s="3"/>
    </row>
    <row r="1231" customFormat="false" ht="15.75" hidden="false" customHeight="false" outlineLevel="0" collapsed="false">
      <c r="B1231" s="3"/>
      <c r="C1231" s="3"/>
    </row>
    <row r="1232" customFormat="false" ht="15.75" hidden="false" customHeight="false" outlineLevel="0" collapsed="false">
      <c r="B1232" s="3"/>
      <c r="C1232" s="3"/>
    </row>
    <row r="1233" customFormat="false" ht="15.75" hidden="false" customHeight="false" outlineLevel="0" collapsed="false">
      <c r="B1233" s="3"/>
      <c r="C1233" s="3"/>
    </row>
    <row r="1234" customFormat="false" ht="15.75" hidden="false" customHeight="false" outlineLevel="0" collapsed="false">
      <c r="B1234" s="3"/>
      <c r="C1234" s="3"/>
    </row>
    <row r="1235" customFormat="false" ht="15.75" hidden="false" customHeight="false" outlineLevel="0" collapsed="false">
      <c r="B1235" s="3"/>
      <c r="C1235" s="3"/>
    </row>
    <row r="1236" customFormat="false" ht="15.75" hidden="false" customHeight="false" outlineLevel="0" collapsed="false">
      <c r="B1236" s="3"/>
      <c r="C1236" s="3"/>
    </row>
    <row r="1237" customFormat="false" ht="15.75" hidden="false" customHeight="false" outlineLevel="0" collapsed="false">
      <c r="B1237" s="3"/>
      <c r="C1237" s="3"/>
    </row>
    <row r="1238" customFormat="false" ht="15.75" hidden="false" customHeight="false" outlineLevel="0" collapsed="false">
      <c r="B1238" s="3"/>
      <c r="C1238" s="3"/>
    </row>
    <row r="1239" customFormat="false" ht="15.75" hidden="false" customHeight="false" outlineLevel="0" collapsed="false">
      <c r="B1239" s="3"/>
      <c r="C1239" s="3"/>
    </row>
    <row r="1240" customFormat="false" ht="15.75" hidden="false" customHeight="false" outlineLevel="0" collapsed="false">
      <c r="B1240" s="3"/>
      <c r="C1240" s="3"/>
    </row>
    <row r="1241" customFormat="false" ht="15.75" hidden="false" customHeight="false" outlineLevel="0" collapsed="false">
      <c r="B1241" s="3"/>
      <c r="C1241" s="3"/>
    </row>
    <row r="1242" customFormat="false" ht="15.75" hidden="false" customHeight="false" outlineLevel="0" collapsed="false">
      <c r="B1242" s="3"/>
      <c r="C1242" s="3"/>
    </row>
    <row r="1243" customFormat="false" ht="15.75" hidden="false" customHeight="false" outlineLevel="0" collapsed="false">
      <c r="B1243" s="3"/>
      <c r="C1243" s="3"/>
    </row>
    <row r="1244" customFormat="false" ht="15.75" hidden="false" customHeight="false" outlineLevel="0" collapsed="false">
      <c r="B1244" s="3"/>
      <c r="C1244" s="3"/>
    </row>
    <row r="1245" customFormat="false" ht="15.75" hidden="false" customHeight="false" outlineLevel="0" collapsed="false">
      <c r="B1245" s="3"/>
      <c r="C1245" s="3"/>
    </row>
    <row r="1246" customFormat="false" ht="15.75" hidden="false" customHeight="false" outlineLevel="0" collapsed="false">
      <c r="B1246" s="3"/>
      <c r="C1246" s="3"/>
    </row>
    <row r="1247" customFormat="false" ht="15.75" hidden="false" customHeight="false" outlineLevel="0" collapsed="false">
      <c r="B1247" s="3"/>
      <c r="C1247" s="3"/>
    </row>
    <row r="1248" customFormat="false" ht="15.75" hidden="false" customHeight="false" outlineLevel="0" collapsed="false">
      <c r="B1248" s="3"/>
      <c r="C1248" s="3"/>
    </row>
    <row r="1249" customFormat="false" ht="15.75" hidden="false" customHeight="false" outlineLevel="0" collapsed="false">
      <c r="B1249" s="3"/>
      <c r="C1249" s="3"/>
    </row>
    <row r="1250" customFormat="false" ht="15.75" hidden="false" customHeight="false" outlineLevel="0" collapsed="false">
      <c r="B1250" s="3"/>
      <c r="C1250" s="3"/>
    </row>
    <row r="1251" customFormat="false" ht="15.75" hidden="false" customHeight="false" outlineLevel="0" collapsed="false">
      <c r="B1251" s="3"/>
      <c r="C1251" s="3"/>
    </row>
    <row r="1252" customFormat="false" ht="15.75" hidden="false" customHeight="false" outlineLevel="0" collapsed="false">
      <c r="B1252" s="3"/>
      <c r="C1252" s="3"/>
    </row>
    <row r="1253" customFormat="false" ht="15.75" hidden="false" customHeight="false" outlineLevel="0" collapsed="false">
      <c r="B1253" s="3"/>
      <c r="C1253" s="3"/>
    </row>
    <row r="1254" customFormat="false" ht="15.75" hidden="false" customHeight="false" outlineLevel="0" collapsed="false">
      <c r="B1254" s="3"/>
      <c r="C1254" s="3"/>
    </row>
    <row r="1255" customFormat="false" ht="15.75" hidden="false" customHeight="false" outlineLevel="0" collapsed="false">
      <c r="B1255" s="3"/>
      <c r="C1255" s="3"/>
    </row>
    <row r="1256" customFormat="false" ht="15.75" hidden="false" customHeight="false" outlineLevel="0" collapsed="false">
      <c r="B1256" s="3"/>
      <c r="C1256" s="3"/>
    </row>
    <row r="1257" customFormat="false" ht="15.75" hidden="false" customHeight="false" outlineLevel="0" collapsed="false">
      <c r="B1257" s="3"/>
      <c r="C1257" s="3"/>
    </row>
    <row r="1258" customFormat="false" ht="15.75" hidden="false" customHeight="false" outlineLevel="0" collapsed="false">
      <c r="B1258" s="3"/>
      <c r="C1258" s="3"/>
    </row>
    <row r="1259" customFormat="false" ht="15.75" hidden="false" customHeight="false" outlineLevel="0" collapsed="false">
      <c r="B1259" s="3"/>
      <c r="C1259" s="3"/>
    </row>
    <row r="1260" customFormat="false" ht="15.75" hidden="false" customHeight="false" outlineLevel="0" collapsed="false">
      <c r="B1260" s="3"/>
      <c r="C1260" s="3"/>
    </row>
    <row r="1261" customFormat="false" ht="15.75" hidden="false" customHeight="false" outlineLevel="0" collapsed="false">
      <c r="B1261" s="3"/>
      <c r="C1261" s="3"/>
    </row>
    <row r="1262" customFormat="false" ht="15.75" hidden="false" customHeight="false" outlineLevel="0" collapsed="false">
      <c r="B1262" s="3"/>
      <c r="C1262" s="3"/>
    </row>
    <row r="1263" customFormat="false" ht="15.75" hidden="false" customHeight="false" outlineLevel="0" collapsed="false">
      <c r="B1263" s="3"/>
      <c r="C1263" s="3"/>
    </row>
    <row r="1264" customFormat="false" ht="15.75" hidden="false" customHeight="false" outlineLevel="0" collapsed="false">
      <c r="B1264" s="3"/>
      <c r="C1264" s="3"/>
    </row>
    <row r="1265" customFormat="false" ht="15.75" hidden="false" customHeight="false" outlineLevel="0" collapsed="false">
      <c r="B1265" s="3"/>
      <c r="C1265" s="3"/>
    </row>
    <row r="1266" customFormat="false" ht="15.75" hidden="false" customHeight="false" outlineLevel="0" collapsed="false">
      <c r="B1266" s="3"/>
      <c r="C1266" s="3"/>
    </row>
    <row r="1267" customFormat="false" ht="15.75" hidden="false" customHeight="false" outlineLevel="0" collapsed="false">
      <c r="B1267" s="3"/>
      <c r="C1267" s="3"/>
    </row>
    <row r="1268" customFormat="false" ht="15.75" hidden="false" customHeight="false" outlineLevel="0" collapsed="false">
      <c r="B1268" s="3"/>
      <c r="C1268" s="3"/>
    </row>
    <row r="1269" customFormat="false" ht="15.75" hidden="false" customHeight="false" outlineLevel="0" collapsed="false">
      <c r="B1269" s="3"/>
      <c r="C1269" s="3"/>
    </row>
    <row r="1270" customFormat="false" ht="15.75" hidden="false" customHeight="false" outlineLevel="0" collapsed="false">
      <c r="B1270" s="3"/>
      <c r="C1270" s="3"/>
    </row>
    <row r="1271" customFormat="false" ht="15.75" hidden="false" customHeight="false" outlineLevel="0" collapsed="false">
      <c r="B1271" s="3"/>
      <c r="C1271" s="3"/>
    </row>
    <row r="1272" customFormat="false" ht="15.75" hidden="false" customHeight="false" outlineLevel="0" collapsed="false">
      <c r="B1272" s="3"/>
      <c r="C1272" s="3"/>
    </row>
    <row r="1273" customFormat="false" ht="15.75" hidden="false" customHeight="false" outlineLevel="0" collapsed="false">
      <c r="B1273" s="3"/>
      <c r="C1273" s="3"/>
    </row>
    <row r="1274" customFormat="false" ht="15.75" hidden="false" customHeight="false" outlineLevel="0" collapsed="false">
      <c r="B1274" s="3"/>
      <c r="C1274" s="3"/>
    </row>
    <row r="1275" customFormat="false" ht="15.75" hidden="false" customHeight="false" outlineLevel="0" collapsed="false">
      <c r="B1275" s="3"/>
      <c r="C1275" s="3"/>
    </row>
    <row r="1276" customFormat="false" ht="15.75" hidden="false" customHeight="false" outlineLevel="0" collapsed="false">
      <c r="B1276" s="3"/>
      <c r="C1276" s="3"/>
    </row>
    <row r="1277" customFormat="false" ht="15.75" hidden="false" customHeight="false" outlineLevel="0" collapsed="false">
      <c r="B1277" s="3"/>
      <c r="C1277" s="3"/>
    </row>
    <row r="1278" customFormat="false" ht="15.75" hidden="false" customHeight="false" outlineLevel="0" collapsed="false">
      <c r="B1278" s="3"/>
      <c r="C1278" s="3"/>
    </row>
    <row r="1279" customFormat="false" ht="15.75" hidden="false" customHeight="false" outlineLevel="0" collapsed="false">
      <c r="B1279" s="3"/>
      <c r="C1279" s="3"/>
    </row>
    <row r="1280" customFormat="false" ht="15.75" hidden="false" customHeight="false" outlineLevel="0" collapsed="false">
      <c r="B1280" s="3"/>
      <c r="C1280" s="3"/>
    </row>
    <row r="1281" customFormat="false" ht="15.75" hidden="false" customHeight="false" outlineLevel="0" collapsed="false">
      <c r="B1281" s="3"/>
      <c r="C1281" s="3"/>
    </row>
    <row r="1282" customFormat="false" ht="15.75" hidden="false" customHeight="false" outlineLevel="0" collapsed="false">
      <c r="B1282" s="3"/>
      <c r="C1282" s="3"/>
    </row>
    <row r="1283" customFormat="false" ht="15.75" hidden="false" customHeight="false" outlineLevel="0" collapsed="false">
      <c r="B1283" s="3"/>
      <c r="C1283" s="3"/>
    </row>
    <row r="1284" customFormat="false" ht="15.75" hidden="false" customHeight="false" outlineLevel="0" collapsed="false">
      <c r="B1284" s="3"/>
      <c r="C1284" s="3"/>
    </row>
    <row r="1285" customFormat="false" ht="15.75" hidden="false" customHeight="false" outlineLevel="0" collapsed="false">
      <c r="B1285" s="3"/>
      <c r="C1285" s="3"/>
    </row>
    <row r="1286" customFormat="false" ht="15.75" hidden="false" customHeight="false" outlineLevel="0" collapsed="false">
      <c r="B1286" s="3"/>
      <c r="C1286" s="3"/>
    </row>
    <row r="1287" customFormat="false" ht="15.75" hidden="false" customHeight="false" outlineLevel="0" collapsed="false">
      <c r="B1287" s="3"/>
      <c r="C1287" s="3"/>
    </row>
    <row r="1288" customFormat="false" ht="15.75" hidden="false" customHeight="false" outlineLevel="0" collapsed="false">
      <c r="B1288" s="3"/>
      <c r="C1288" s="3"/>
    </row>
    <row r="1289" customFormat="false" ht="15.75" hidden="false" customHeight="false" outlineLevel="0" collapsed="false">
      <c r="B1289" s="3"/>
      <c r="C1289" s="3"/>
    </row>
    <row r="1290" customFormat="false" ht="15.75" hidden="false" customHeight="false" outlineLevel="0" collapsed="false">
      <c r="B1290" s="3"/>
      <c r="C1290" s="3"/>
    </row>
    <row r="1291" customFormat="false" ht="15.75" hidden="false" customHeight="false" outlineLevel="0" collapsed="false">
      <c r="B1291" s="3"/>
      <c r="C1291" s="3"/>
    </row>
    <row r="1292" customFormat="false" ht="15.75" hidden="false" customHeight="false" outlineLevel="0" collapsed="false">
      <c r="B1292" s="3"/>
      <c r="C1292" s="3"/>
    </row>
    <row r="1293" customFormat="false" ht="15.75" hidden="false" customHeight="false" outlineLevel="0" collapsed="false">
      <c r="B1293" s="3"/>
      <c r="C1293" s="3"/>
    </row>
    <row r="1294" customFormat="false" ht="15.75" hidden="false" customHeight="false" outlineLevel="0" collapsed="false">
      <c r="B1294" s="3"/>
      <c r="C1294" s="3"/>
    </row>
    <row r="1295" customFormat="false" ht="15.75" hidden="false" customHeight="false" outlineLevel="0" collapsed="false">
      <c r="B1295" s="3"/>
      <c r="C1295" s="3"/>
    </row>
    <row r="1296" customFormat="false" ht="15.75" hidden="false" customHeight="false" outlineLevel="0" collapsed="false">
      <c r="B1296" s="3"/>
      <c r="C1296" s="3"/>
    </row>
    <row r="1297" customFormat="false" ht="15.75" hidden="false" customHeight="false" outlineLevel="0" collapsed="false">
      <c r="B1297" s="3"/>
      <c r="C1297" s="3"/>
    </row>
    <row r="1298" customFormat="false" ht="15.75" hidden="false" customHeight="false" outlineLevel="0" collapsed="false">
      <c r="B1298" s="3"/>
      <c r="C1298" s="3"/>
    </row>
    <row r="1299" customFormat="false" ht="15.75" hidden="false" customHeight="false" outlineLevel="0" collapsed="false">
      <c r="B1299" s="3"/>
      <c r="C1299" s="3"/>
    </row>
    <row r="1300" customFormat="false" ht="15.75" hidden="false" customHeight="false" outlineLevel="0" collapsed="false">
      <c r="B1300" s="3"/>
      <c r="C1300" s="3"/>
    </row>
    <row r="1301" customFormat="false" ht="15.75" hidden="false" customHeight="false" outlineLevel="0" collapsed="false">
      <c r="B1301" s="3"/>
      <c r="C1301" s="3"/>
    </row>
    <row r="1302" customFormat="false" ht="15.75" hidden="false" customHeight="false" outlineLevel="0" collapsed="false">
      <c r="B1302" s="3"/>
      <c r="C1302" s="3"/>
    </row>
    <row r="1303" customFormat="false" ht="15.75" hidden="false" customHeight="false" outlineLevel="0" collapsed="false">
      <c r="B1303" s="3"/>
      <c r="C1303" s="3"/>
    </row>
    <row r="1304" customFormat="false" ht="15.75" hidden="false" customHeight="false" outlineLevel="0" collapsed="false">
      <c r="B1304" s="3"/>
      <c r="C1304" s="3"/>
    </row>
    <row r="1305" customFormat="false" ht="15.75" hidden="false" customHeight="false" outlineLevel="0" collapsed="false">
      <c r="B1305" s="3"/>
      <c r="C1305" s="3"/>
    </row>
    <row r="1306" customFormat="false" ht="15.75" hidden="false" customHeight="false" outlineLevel="0" collapsed="false">
      <c r="B1306" s="3"/>
      <c r="C1306" s="3"/>
    </row>
    <row r="1307" customFormat="false" ht="15.75" hidden="false" customHeight="false" outlineLevel="0" collapsed="false">
      <c r="B1307" s="3"/>
      <c r="C1307" s="3"/>
    </row>
    <row r="1308" customFormat="false" ht="15.75" hidden="false" customHeight="false" outlineLevel="0" collapsed="false">
      <c r="B1308" s="3"/>
      <c r="C1308" s="3"/>
    </row>
    <row r="1309" customFormat="false" ht="15.75" hidden="false" customHeight="false" outlineLevel="0" collapsed="false">
      <c r="B1309" s="3"/>
      <c r="C1309" s="3"/>
    </row>
    <row r="1310" customFormat="false" ht="15.75" hidden="false" customHeight="false" outlineLevel="0" collapsed="false">
      <c r="B1310" s="3"/>
      <c r="C1310" s="3"/>
    </row>
    <row r="1311" customFormat="false" ht="15.75" hidden="false" customHeight="false" outlineLevel="0" collapsed="false">
      <c r="B1311" s="3"/>
      <c r="C1311" s="3"/>
    </row>
    <row r="1312" customFormat="false" ht="15.75" hidden="false" customHeight="false" outlineLevel="0" collapsed="false">
      <c r="B1312" s="3"/>
      <c r="C1312" s="3"/>
    </row>
    <row r="1313" customFormat="false" ht="15.75" hidden="false" customHeight="false" outlineLevel="0" collapsed="false">
      <c r="B1313" s="3"/>
      <c r="C1313" s="3"/>
    </row>
    <row r="1314" customFormat="false" ht="15.75" hidden="false" customHeight="false" outlineLevel="0" collapsed="false">
      <c r="B1314" s="3"/>
      <c r="C1314" s="3"/>
    </row>
    <row r="1315" customFormat="false" ht="15.75" hidden="false" customHeight="false" outlineLevel="0" collapsed="false">
      <c r="B1315" s="3"/>
      <c r="C1315" s="3"/>
    </row>
    <row r="1316" customFormat="false" ht="15.75" hidden="false" customHeight="false" outlineLevel="0" collapsed="false">
      <c r="B1316" s="3"/>
      <c r="C1316" s="3"/>
    </row>
    <row r="1317" customFormat="false" ht="15.75" hidden="false" customHeight="false" outlineLevel="0" collapsed="false">
      <c r="B1317" s="3"/>
      <c r="C1317" s="3"/>
    </row>
    <row r="1318" customFormat="false" ht="15.75" hidden="false" customHeight="false" outlineLevel="0" collapsed="false">
      <c r="B1318" s="3"/>
      <c r="C1318" s="3"/>
    </row>
    <row r="1319" customFormat="false" ht="15.75" hidden="false" customHeight="false" outlineLevel="0" collapsed="false">
      <c r="B1319" s="3"/>
      <c r="C1319" s="3"/>
    </row>
    <row r="1320" customFormat="false" ht="15.75" hidden="false" customHeight="false" outlineLevel="0" collapsed="false">
      <c r="B1320" s="3"/>
      <c r="C1320" s="3"/>
    </row>
    <row r="1321" customFormat="false" ht="15.75" hidden="false" customHeight="false" outlineLevel="0" collapsed="false">
      <c r="B1321" s="3"/>
      <c r="C1321" s="3"/>
    </row>
    <row r="1322" customFormat="false" ht="15.75" hidden="false" customHeight="false" outlineLevel="0" collapsed="false">
      <c r="B1322" s="3"/>
      <c r="C1322" s="3"/>
    </row>
    <row r="1323" customFormat="false" ht="15.75" hidden="false" customHeight="false" outlineLevel="0" collapsed="false">
      <c r="B1323" s="3"/>
      <c r="C1323" s="3"/>
    </row>
    <row r="1324" customFormat="false" ht="15.75" hidden="false" customHeight="false" outlineLevel="0" collapsed="false">
      <c r="B1324" s="3"/>
      <c r="C1324" s="3"/>
    </row>
    <row r="1325" customFormat="false" ht="15.75" hidden="false" customHeight="false" outlineLevel="0" collapsed="false">
      <c r="B1325" s="3"/>
      <c r="C1325" s="3"/>
    </row>
    <row r="1326" customFormat="false" ht="15.75" hidden="false" customHeight="false" outlineLevel="0" collapsed="false">
      <c r="B1326" s="3"/>
      <c r="C1326" s="3"/>
    </row>
    <row r="1327" customFormat="false" ht="15.75" hidden="false" customHeight="false" outlineLevel="0" collapsed="false">
      <c r="B1327" s="3"/>
      <c r="C1327" s="3"/>
    </row>
    <row r="1328" customFormat="false" ht="15.75" hidden="false" customHeight="false" outlineLevel="0" collapsed="false">
      <c r="B1328" s="3"/>
      <c r="C1328" s="3"/>
    </row>
    <row r="1329" customFormat="false" ht="15.75" hidden="false" customHeight="false" outlineLevel="0" collapsed="false">
      <c r="B1329" s="3"/>
      <c r="C1329" s="3"/>
    </row>
    <row r="1330" customFormat="false" ht="15.75" hidden="false" customHeight="false" outlineLevel="0" collapsed="false">
      <c r="B1330" s="3"/>
      <c r="C1330" s="3"/>
    </row>
    <row r="1331" customFormat="false" ht="15.75" hidden="false" customHeight="false" outlineLevel="0" collapsed="false">
      <c r="B1331" s="3"/>
      <c r="C1331" s="3"/>
    </row>
    <row r="1332" customFormat="false" ht="15.75" hidden="false" customHeight="false" outlineLevel="0" collapsed="false">
      <c r="B1332" s="3"/>
      <c r="C1332" s="3"/>
    </row>
    <row r="1333" customFormat="false" ht="15.75" hidden="false" customHeight="false" outlineLevel="0" collapsed="false">
      <c r="B1333" s="3"/>
      <c r="C1333" s="3"/>
    </row>
    <row r="1334" customFormat="false" ht="15.75" hidden="false" customHeight="false" outlineLevel="0" collapsed="false">
      <c r="B1334" s="3"/>
      <c r="C1334" s="3"/>
    </row>
  </sheetData>
  <conditionalFormatting sqref="C326">
    <cfRule type="expression" priority="2" aboveAverage="0" equalAverage="0" bottom="0" percent="0" rank="0" text="" dxfId="1">
      <formula>D326="YES"</formula>
    </cfRule>
  </conditionalFormatting>
  <conditionalFormatting sqref="A2:A832">
    <cfRule type="expression" priority="3" aboveAverage="0" equalAverage="0" bottom="0" percent="0" rank="0" text="" dxfId="2">
      <formula>COUNTIF(B2:C2,A2)=0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76.63"/>
    <col collapsed="false" customWidth="true" hidden="false" outlineLevel="0" max="2" min="2" style="0" width="5.38"/>
    <col collapsed="false" customWidth="true" hidden="false" outlineLevel="0" max="3" min="3" style="0" width="77.25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714</v>
      </c>
      <c r="B2" s="3" t="str">
        <f aca="false">IF(COUNTIF(Final_CB_ML6_V5!$B$2:$B$827,A2)&gt;=1,"YES","NO")</f>
        <v>YES</v>
      </c>
      <c r="C2" s="3" t="s">
        <v>715</v>
      </c>
      <c r="D2" s="3" t="str">
        <f aca="false">IF(COUNTIF(Final_CB_ML6_V5!$C$2:$C$827,C2)&gt;=1,"YES","NO")</f>
        <v>YES</v>
      </c>
      <c r="F2" s="4" t="str">
        <f aca="false">IFERROR(__xludf.dummyfunction("filter(A2:A700, MATCH(A2:A700, C2:C700, FALSE))"),"agreeing::to::do::a::FFE::for::the::BP")</f>
        <v>agreeing::to::do::a::FFE::for::the::BP</v>
      </c>
      <c r="G2" s="4" t="str">
        <f aca="false">IFERROR(__xludf.dummyfunction("filter(A2:A700,iserror(MATCH(A2:A700, C2:C700, FALSE)))"),"agreeing::on::clarification::on::discussing::solution::design")</f>
        <v>agreeing::on::clarification::on::discussing::solution::design</v>
      </c>
      <c r="H2" s="4" t="str">
        <f aca="false">IFERROR(__xludf.dummyfunction("filter(C2:C700,ISERROR(MATCH(C2:C700, A2:A700, FALSE)))"),"agreeing::answering::about::selecting::between::design::options::of::implementation::(hybrid::compute::nodes)::(implement::both)")</f>
        <v>agreeing::answering::about::selecting::between::design::options::of::implementation::(hybrid::compute::nodes)::(implement::both)</v>
      </c>
    </row>
    <row r="3" customFormat="false" ht="15.75" hidden="false" customHeight="false" outlineLevel="0" collapsed="false">
      <c r="A3" s="3" t="s">
        <v>716</v>
      </c>
      <c r="B3" s="3" t="str">
        <f aca="false">IF(COUNTIF(Final_CB_ML6_V5!$B$2:$B$827,A3)&gt;=1,"YES","NO")</f>
        <v>YES</v>
      </c>
      <c r="C3" s="3" t="s">
        <v>717</v>
      </c>
      <c r="D3" s="3" t="str">
        <f aca="false">IF(COUNTIF(Final_CB_ML6_V5!$C$2:$C$827,C3)&gt;=1,"YES","NO")</f>
        <v>YES</v>
      </c>
      <c r="F3" s="4" t="str">
        <f aca="false">IFERROR(__xludf.dummyfunction("""COMPUTED_VALUE"""),"agreeing::to::reject::a::FFE::for::the::BP::that::includes::the::bug")</f>
        <v>agreeing::to::reject::a::FFE::for::the::BP::that::includes::the::bug</v>
      </c>
      <c r="G3" s="4" t="str">
        <f aca="false">IFERROR(__xludf.dummyfunction("""COMPUTED_VALUE"""),"agreeing::plan::development::process::(future::enhancement)")</f>
        <v>agreeing::plan::development::process::(future::enhancement)</v>
      </c>
      <c r="H3" s="4" t="str">
        <f aca="false">IFERROR(__xludf.dummyfunction("""COMPUTED_VALUE"""),"agreeing::con::clarification::on::discussing::solution::design::(requirements::of::the::solution)")</f>
        <v>agreeing::con::clarification::on::discussing::solution::design::(requirements::of::the::solution)</v>
      </c>
    </row>
    <row r="4" customFormat="false" ht="15.75" hidden="false" customHeight="false" outlineLevel="0" collapsed="false">
      <c r="A4" s="3" t="s">
        <v>718</v>
      </c>
      <c r="B4" s="3" t="str">
        <f aca="false">IF(COUNTIF(Final_CB_ML6_V5!$B$2:$B$827,A4)&gt;=1,"YES","NO")</f>
        <v>YES</v>
      </c>
      <c r="C4" s="3" t="s">
        <v>719</v>
      </c>
      <c r="D4" s="3" t="str">
        <f aca="false">IF(COUNTIF(Final_CB_ML6_V5!$C$2:$C$827,C4)&gt;=1,"YES","NO")</f>
        <v>YES</v>
      </c>
      <c r="F4" s="4" t="str">
        <f aca="false">IFERROR(__xludf.dummyfunction("""COMPUTED_VALUE"""),"agreeing::with::the::solution::proposed::for::bug::due::to::new::functionality::that::was::enabled::thanks::to::the::BP")</f>
        <v>agreeing::with::the::solution::proposed::for::bug::due::to::new::functionality::that::was::enabled::thanks::to::the::BP</v>
      </c>
      <c r="G4" s="4" t="str">
        <f aca="false">IFERROR(__xludf.dummyfunction("""COMPUTED_VALUE"""),"answering::question::about::details::in::implementation")</f>
        <v>answering::question::about::details::in::implementation</v>
      </c>
      <c r="H4" s="4" t="str">
        <f aca="false">IFERROR(__xludf.dummyfunction("""COMPUTED_VALUE"""),"agreeing::design::choice::(hybrid::compute::nodes)")</f>
        <v>agreeing::design::choice::(hybrid::compute::nodes)</v>
      </c>
    </row>
    <row r="5" customFormat="false" ht="15.75" hidden="false" customHeight="false" outlineLevel="0" collapsed="false">
      <c r="A5" s="3" t="s">
        <v>720</v>
      </c>
      <c r="B5" s="3" t="str">
        <f aca="false">IF(COUNTIF(Final_CB_ML6_V5!$B$2:$B$827,A5)&gt;=1,"YES","NO")</f>
        <v>YES</v>
      </c>
      <c r="C5" s="3" t="s">
        <v>721</v>
      </c>
      <c r="D5" s="3" t="str">
        <f aca="false">IF(COUNTIF(Final_CB_ML6_V5!$C$2:$C$827,C5)&gt;=1,"YES","NO")</f>
        <v>YES</v>
      </c>
      <c r="F5" s="4" t="str">
        <f aca="false">IFERROR(__xludf.dummyfunction("""COMPUTED_VALUE"""),"aknowledgeing::that:.adressing:feedback::needed:.to::FFE")</f>
        <v>aknowledgeing::that:.adressing:feedback::needed:.to::FFE</v>
      </c>
      <c r="G5" s="4" t="str">
        <f aca="false">IFERROR(__xludf.dummyfunction("""COMPUTED_VALUE"""),"asking::advice::issue::encountered")</f>
        <v>asking::advice::issue::encountered</v>
      </c>
      <c r="H5" s="4" t="str">
        <f aca="false">IFERROR(__xludf.dummyfunction("""COMPUTED_VALUE"""),"agreeing::in::implement::a::temporal::solution::that::will::be::later::improved")</f>
        <v>agreeing::in::implement::a::temporal::solution::that::will::be::later::improved</v>
      </c>
    </row>
    <row r="6" customFormat="false" ht="15.75" hidden="false" customHeight="false" outlineLevel="0" collapsed="false">
      <c r="A6" s="3" t="s">
        <v>722</v>
      </c>
      <c r="B6" s="3" t="str">
        <f aca="false">IF(COUNTIF(Final_CB_ML6_V5!$B$2:$B$827,A6)&gt;=1,"YES","NO")</f>
        <v>YES</v>
      </c>
      <c r="C6" s="3" t="s">
        <v>723</v>
      </c>
      <c r="D6" s="3" t="str">
        <f aca="false">IF(COUNTIF(Final_CB_ML6_V5!$C$2:$C$827,C6)&gt;=1,"YES","NO")</f>
        <v>YES</v>
      </c>
      <c r="F6" s="4" t="str">
        <f aca="false">IFERROR(__xludf.dummyfunction("""COMPUTED_VALUE"""),"alternative::solution::to::encountered::errors::while::implementing::feature/BP")</f>
        <v>alternative::solution::to::encountered::errors::while::implementing::feature/BP</v>
      </c>
      <c r="G6" s="4" t="str">
        <f aca="false">IFERROR(__xludf.dummyfunction("""COMPUTED_VALUE"""),"asking::approval::bp")</f>
        <v>asking::approval::bp</v>
      </c>
      <c r="H6" s="4" t="str">
        <f aca="false">IFERROR(__xludf.dummyfunction("""COMPUTED_VALUE"""),"agreeing::not::delaying::the:.discussion::of::BP")</f>
        <v>agreeing::not::delaying::the:.discussion::of::BP</v>
      </c>
    </row>
    <row r="7" customFormat="false" ht="15.75" hidden="false" customHeight="false" outlineLevel="0" collapsed="false">
      <c r="A7" s="3" t="s">
        <v>724</v>
      </c>
      <c r="B7" s="3" t="str">
        <f aca="false">IF(COUNTIF(Final_CB_ML6_V5!$B$2:$B$827,A7)&gt;=1,"YES","NO")</f>
        <v>YES</v>
      </c>
      <c r="C7" s="3" t="s">
        <v>725</v>
      </c>
      <c r="D7" s="3" t="str">
        <f aca="false">IF(COUNTIF(Final_CB_ML6_V5!$C$2:$C$827,C7)&gt;=1,"YES","NO")</f>
        <v>YES</v>
      </c>
      <c r="F7" s="4" t="str">
        <f aca="false">IFERROR(__xludf.dummyfunction("""COMPUTED_VALUE"""),"approval::FFE")</f>
        <v>approval::FFE</v>
      </c>
      <c r="G7" s="4" t="str">
        <f aca="false">IFERROR(__xludf.dummyfunction("""COMPUTED_VALUE"""),"asking::clarification::about::intended::solution::design")</f>
        <v>asking::clarification::about::intended::solution::design</v>
      </c>
      <c r="H7" s="4" t="str">
        <f aca="false">IFERROR(__xludf.dummyfunction("""COMPUTED_VALUE"""),"agreeing::on::filed/registered::blue::print::to::track::progress")</f>
        <v>agreeing::on::filed/registered::blue::print::to::track::progress</v>
      </c>
    </row>
    <row r="8" customFormat="false" ht="15.75" hidden="false" customHeight="false" outlineLevel="0" collapsed="false">
      <c r="A8" s="3" t="s">
        <v>726</v>
      </c>
      <c r="B8" s="3" t="str">
        <f aca="false">IF(COUNTIF(Final_CB_ML6_V5!$B$2:$B$827,A8)&gt;=1,"YES","NO")</f>
        <v>YES</v>
      </c>
      <c r="C8" s="3" t="s">
        <v>727</v>
      </c>
      <c r="D8" s="3" t="str">
        <f aca="false">IF(COUNTIF(Final_CB_ML6_V5!$C$2:$C$827,C8)&gt;=1,"YES","NO")</f>
        <v>YES</v>
      </c>
      <c r="F8" s="4" t="str">
        <f aca="false">IFERROR(__xludf.dummyfunction("""COMPUTED_VALUE"""),"asking::advice::development::process::(split::changes)::due::to::interaction::of::different::projects::(nova::neutron)::with::the::wanted::change")</f>
        <v>asking::advice::development::process::(split::changes)::due::to::interaction::of::different::projects::(nova::neutron)::with::the::wanted::change</v>
      </c>
      <c r="G8" s="4" t="str">
        <f aca="false">IFERROR(__xludf.dummyfunction("""COMPUTED_VALUE"""),"asking::clarification::about::intended::test::setup")</f>
        <v>asking::clarification::about::intended::test::setup</v>
      </c>
      <c r="H8" s="4" t="str">
        <f aca="false">IFERROR(__xludf.dummyfunction("""COMPUTED_VALUE"""),"agreeing::on::requesting::a::meeeting::(IRC)")</f>
        <v>agreeing::on::requesting::a::meeeting::(IRC)</v>
      </c>
    </row>
    <row r="9" customFormat="false" ht="15.75" hidden="false" customHeight="false" outlineLevel="0" collapsed="false">
      <c r="A9" s="3" t="s">
        <v>728</v>
      </c>
      <c r="B9" s="3" t="str">
        <f aca="false">IF(COUNTIF(Final_CB_ML6_V5!$B$2:$B$827,A9)&gt;=1,"YES","NO")</f>
        <v>YES</v>
      </c>
      <c r="C9" s="3" t="s">
        <v>729</v>
      </c>
      <c r="D9" s="3" t="str">
        <f aca="false">IF(COUNTIF(Final_CB_ML6_V5!$C$2:$C$827,C9)&gt;=1,"YES","NO")</f>
        <v>YES</v>
      </c>
      <c r="F9" s="4" t="str">
        <f aca="false">IFERROR(__xludf.dummyfunction("""COMPUTED_VALUE"""),"asking::advice::development::process::(tags::vs::branches::vs::different::project)")</f>
        <v>asking::advice::development::process::(tags::vs::branches::vs::different::project)</v>
      </c>
      <c r="G9" s="4" t="str">
        <f aca="false">IFERROR(__xludf.dummyfunction("""COMPUTED_VALUE"""),"asking::clarification::regarding::responsibilities::(possible::missunderstanding)")</f>
        <v>asking::clarification::regarding::responsibilities::(possible::missunderstanding)</v>
      </c>
      <c r="H9" s="4" t="str">
        <f aca="false">IFERROR(__xludf.dummyfunction("""COMPUTED_VALUE"""),"agreeing::solution::for::the::responsabilities::left::of::by::other::developers::(bug/BP/feature::related)")</f>
        <v>agreeing::solution::for::the::responsabilities::left::of::by::other::developers::(bug/BP/feature::related)</v>
      </c>
    </row>
    <row r="10" customFormat="false" ht="15.75" hidden="false" customHeight="false" outlineLevel="0" collapsed="false">
      <c r="A10" s="3" t="s">
        <v>730</v>
      </c>
      <c r="B10" s="3" t="str">
        <f aca="false">IF(COUNTIF(Final_CB_ML6_V5!$B$2:$B$827,A10)&gt;=1,"YES","NO")</f>
        <v>YES</v>
      </c>
      <c r="C10" s="3" t="s">
        <v>718</v>
      </c>
      <c r="D10" s="3" t="str">
        <f aca="false">IF(COUNTIF(Final_CB_ML6_V5!$C$2:$C$827,C10)&gt;=1,"YES","NO")</f>
        <v>YES</v>
      </c>
      <c r="F10" s="4" t="str">
        <f aca="false">IFERROR(__xludf.dummyfunction("""COMPUTED_VALUE"""),"asking::clarification::about::functionallity::(how::to::enable::in::the::future)")</f>
        <v>asking::clarification::about::functionallity::(how::to::enable::in::the::future)</v>
      </c>
      <c r="G10" s="4" t="str">
        <f aca="false">IFERROR(__xludf.dummyfunction("""COMPUTED_VALUE"""),"asking::for::advice::(solution::design)")</f>
        <v>asking::for::advice::(solution::design)</v>
      </c>
      <c r="H10" s="4" t="str">
        <f aca="false">IFERROR(__xludf.dummyfunction("""COMPUTED_VALUE"""),"ansswering::advice::how::discussing::topic::online")</f>
        <v>ansswering::advice::how::discussing::topic::online</v>
      </c>
    </row>
    <row r="11" customFormat="false" ht="15.75" hidden="false" customHeight="false" outlineLevel="0" collapsed="false">
      <c r="A11" s="3" t="s">
        <v>731</v>
      </c>
      <c r="B11" s="3" t="str">
        <f aca="false">IF(COUNTIF(Final_CB_ML6_V5!$B$2:$B$827,A11)&gt;=1,"YES","NO")</f>
        <v>YES</v>
      </c>
      <c r="C11" s="3" t="s">
        <v>720</v>
      </c>
      <c r="D11" s="3" t="str">
        <f aca="false">IF(COUNTIF(Final_CB_ML6_V5!$C$2:$C$827,C11)&gt;=1,"YES","NO")</f>
        <v>YES</v>
      </c>
      <c r="F11" s="4" t="str">
        <f aca="false">IFERROR(__xludf.dummyfunction("""COMPUTED_VALUE"""),"asking::clarification::about::next::steps::(design:.choices)")</f>
        <v>asking::clarification::about::next::steps::(design:.choices)</v>
      </c>
      <c r="G11" s="4" t="str">
        <f aca="false">IFERROR(__xludf.dummyfunction("""COMPUTED_VALUE"""),"asking::for::approval::of::the::implmentation::(other::review)")</f>
        <v>asking::for::approval::of::the::implmentation::(other::review)</v>
      </c>
      <c r="H11" s="4" t="str">
        <f aca="false">IFERROR(__xludf.dummyfunction("""COMPUTED_VALUE"""),"answering::about::one::design::choice::of::implementation::(hybrid::compute::nodes)::(decision::depends:.on::developers::team::not::constraint::to::technology)")</f>
        <v>answering::about::one::design::choice::of::implementation::(hybrid::compute::nodes)::(decision::depends:.on::developers::team::not::constraint::to::technology)</v>
      </c>
    </row>
    <row r="12" customFormat="false" ht="15.75" hidden="false" customHeight="false" outlineLevel="0" collapsed="false">
      <c r="A12" s="3" t="s">
        <v>732</v>
      </c>
      <c r="B12" s="3" t="str">
        <f aca="false">IF(COUNTIF(Final_CB_ML6_V5!$B$2:$B$827,A12)&gt;=1,"YES","NO")</f>
        <v>YES</v>
      </c>
      <c r="C12" s="3" t="s">
        <v>722</v>
      </c>
      <c r="D12" s="3" t="str">
        <f aca="false">IF(COUNTIF(Final_CB_ML6_V5!$C$2:$C$827,C12)&gt;=1,"YES","NO")</f>
        <v>YES</v>
      </c>
      <c r="F12" s="4" t="str">
        <f aca="false">IFERROR(__xludf.dummyfunction("""COMPUTED_VALUE"""),"asking::clarification::about::solution::design::(components::of::the::solution)")</f>
        <v>asking::clarification::about::solution::design::(components::of::the::solution)</v>
      </c>
      <c r="G12" s="4" t="str">
        <f aca="false">IFERROR(__xludf.dummyfunction("""COMPUTED_VALUE"""),"asking::for::help::(help::plea)")</f>
        <v>asking::for::help::(help::plea)</v>
      </c>
      <c r="H12" s="4" t="str">
        <f aca="false">IFERROR(__xludf.dummyfunction("""COMPUTED_VALUE"""),"answering::about::selecting::between::design::options::of::implementation(hybrid::compute::nodes)::(implement::both)")</f>
        <v>answering::about::selecting::between::design::options::of::implementation(hybrid::compute::nodes)::(implement::both)</v>
      </c>
    </row>
    <row r="13" customFormat="false" ht="15.75" hidden="false" customHeight="false" outlineLevel="0" collapsed="false">
      <c r="A13" s="3" t="s">
        <v>733</v>
      </c>
      <c r="B13" s="3" t="str">
        <f aca="false">IF(COUNTIF(Final_CB_ML6_V5!$B$2:$B$827,A13)&gt;=1,"YES","NO")</f>
        <v>YES</v>
      </c>
      <c r="C13" s="3" t="s">
        <v>724</v>
      </c>
      <c r="D13" s="3" t="str">
        <f aca="false">IF(COUNTIF(Final_CB_ML6_V5!$C$2:$C$827,C13)&gt;=1,"YES","NO")</f>
        <v>YES</v>
      </c>
      <c r="F13" s="4" t="str">
        <f aca="false">IFERROR(__xludf.dummyfunction("""COMPUTED_VALUE"""),"asking::clarification::of::backporting::other::features::of::the::same::release::of::BP")</f>
        <v>asking::clarification::of::backporting::other::features::of::the::same::release::of::BP</v>
      </c>
      <c r="G13" s="4" t="str">
        <f aca="false">IFERROR(__xludf.dummyfunction("""COMPUTED_VALUE"""),"asking::for::more::oppinions::(by::devs::of::related::project)")</f>
        <v>asking::for::more::oppinions::(by::devs::of::related::project)</v>
      </c>
      <c r="H13" s="4" t="str">
        <f aca="false">IFERROR(__xludf.dummyfunction("""COMPUTED_VALUE"""),"answering::advice::how::discussing::topic::online")</f>
        <v>answering::advice::how::discussing::topic::online</v>
      </c>
    </row>
    <row r="14" customFormat="false" ht="15.75" hidden="false" customHeight="false" outlineLevel="0" collapsed="false">
      <c r="A14" s="3" t="s">
        <v>734</v>
      </c>
      <c r="B14" s="3" t="str">
        <f aca="false">IF(COUNTIF(Final_CB_ML6_V5!$B$2:$B$827,A14)&gt;=1,"YES","NO")</f>
        <v>YES</v>
      </c>
      <c r="C14" s="3" t="s">
        <v>726</v>
      </c>
      <c r="D14" s="3" t="str">
        <f aca="false">IF(COUNTIF(Final_CB_ML6_V5!$C$2:$C$827,C14)&gt;=1,"YES","NO")</f>
        <v>YES</v>
      </c>
      <c r="F14" s="4" t="str">
        <f aca="false">IFERROR(__xludf.dummyfunction("""COMPUTED_VALUE"""),"asking::clarifications::about::development::process::(testing)")</f>
        <v>asking::clarifications::about::development::process::(testing)</v>
      </c>
      <c r="G14" s="4" t="str">
        <f aca="false">IFERROR(__xludf.dummyfunction("""COMPUTED_VALUE"""),"commiting::to::review")</f>
        <v>commiting::to::review</v>
      </c>
      <c r="H14" s="4" t="str">
        <f aca="false">IFERROR(__xludf.dummyfunction("""COMPUTED_VALUE"""),"answering::asking::for:.an::existing::Bug/BP::to:.work::on::(tag::related::on::bug::platform)")</f>
        <v>answering::asking::for:.an::existing::Bug/BP::to:.work::on::(tag::related::on::bug::platform)</v>
      </c>
    </row>
    <row r="15" customFormat="false" ht="15.75" hidden="false" customHeight="false" outlineLevel="0" collapsed="false">
      <c r="A15" s="3" t="s">
        <v>735</v>
      </c>
      <c r="B15" s="3" t="str">
        <f aca="false">IF(COUNTIF(Final_CB_ML6_V5!$B$2:$B$827,A15)&gt;=1,"YES","NO")</f>
        <v>YES</v>
      </c>
      <c r="C15" s="3" t="s">
        <v>736</v>
      </c>
      <c r="D15" s="3" t="str">
        <f aca="false">IF(COUNTIF(Final_CB_ML6_V5!$C$2:$C$827,C15)&gt;=1,"YES","NO")</f>
        <v>YES</v>
      </c>
      <c r="F15" s="4" t="str">
        <f aca="false">IFERROR(__xludf.dummyfunction("""COMPUTED_VALUE"""),"asking::clarifications::about::plan::development::process")</f>
        <v>asking::clarifications::about::plan::development::process</v>
      </c>
      <c r="G15" s="4" t="str">
        <f aca="false">IFERROR(__xludf.dummyfunction("""COMPUTED_VALUE"""),"cons::and::pros::FFE")</f>
        <v>cons::and::pros::FFE</v>
      </c>
      <c r="H15" s="4" t="str">
        <f aca="false">IFERROR(__xludf.dummyfunction("""COMPUTED_VALUE"""),"answering::asking::for::an::existing::Bug/BP::to:.work::on::(possible::BP)")</f>
        <v>answering::asking::for::an::existing::Bug/BP::to:.work::on::(possible::BP)</v>
      </c>
    </row>
    <row r="16" customFormat="false" ht="15.75" hidden="false" customHeight="false" outlineLevel="0" collapsed="false">
      <c r="A16" s="3" t="s">
        <v>737</v>
      </c>
      <c r="B16" s="3" t="str">
        <f aca="false">IF(COUNTIF(Final_CB_ML6_V5!$B$2:$B$827,A16)&gt;=1,"YES","NO")</f>
        <v>YES</v>
      </c>
      <c r="C16" s="3" t="s">
        <v>738</v>
      </c>
      <c r="D16" s="3" t="str">
        <f aca="false">IF(COUNTIF(Final_CB_ML6_V5!$C$2:$C$827,C16)&gt;=1,"YES","NO")</f>
        <v>YES</v>
      </c>
      <c r="F16" s="4" t="str">
        <f aca="false">IFERROR(__xludf.dummyfunction("""COMPUTED_VALUE"""),"asking::for:.an::existing::Bug/BP::to:.work::on")</f>
        <v>asking::for:.an::existing::Bug/BP::to:.work::on</v>
      </c>
      <c r="G16" s="4" t="str">
        <f aca="false">IFERROR(__xludf.dummyfunction("""COMPUTED_VALUE"""),"deprecate::a::feature::(review)")</f>
        <v>deprecate::a::feature::(review)</v>
      </c>
      <c r="H16" s="4" t="str">
        <f aca="false">IFERROR(__xludf.dummyfunction("""COMPUTED_VALUE"""),"answering::asking::for::an::existing::Bug/BP::to:.work::on::(possible::bug)")</f>
        <v>answering::asking::for::an::existing::Bug/BP::to:.work::on::(possible::bug)</v>
      </c>
    </row>
    <row r="17" customFormat="false" ht="15.75" hidden="false" customHeight="false" outlineLevel="0" collapsed="false">
      <c r="A17" s="3" t="s">
        <v>739</v>
      </c>
      <c r="B17" s="3" t="str">
        <f aca="false">IF(COUNTIF(Final_CB_ML6_V5!$B$2:$B$827,A17)&gt;=1,"YES","NO")</f>
        <v>YES</v>
      </c>
      <c r="C17" s="3" t="s">
        <v>740</v>
      </c>
      <c r="D17" s="3" t="str">
        <f aca="false">IF(COUNTIF(Final_CB_ML6_V5!$C$2:$C$827,C17)&gt;=1,"YES","NO")</f>
        <v>YES</v>
      </c>
      <c r="F17" s="4" t="str">
        <f aca="false">IFERROR(__xludf.dummyfunction("""COMPUTED_VALUE"""),"asking::for::creation::(specification::new::API)")</f>
        <v>asking::for::creation::(specification::new::API)</v>
      </c>
      <c r="G17" s="4" t="str">
        <f aca="false">IFERROR(__xludf.dummyfunction("""COMPUTED_VALUE"""),"disagreeing::refactoring::required")</f>
        <v>disagreeing::refactoring::required</v>
      </c>
      <c r="H17" s="4" t="str">
        <f aca="false">IFERROR(__xludf.dummyfunction("""COMPUTED_VALUE"""),"answering::asking::for::an::existing::Bug/BP::to:.work::on::(possible::specification)")</f>
        <v>answering::asking::for::an::existing::Bug/BP::to:.work::on::(possible::specification)</v>
      </c>
    </row>
    <row r="18" customFormat="false" ht="15.75" hidden="false" customHeight="false" outlineLevel="0" collapsed="false">
      <c r="A18" s="3" t="s">
        <v>741</v>
      </c>
      <c r="B18" s="3" t="str">
        <f aca="false">IF(COUNTIF(Final_CB_ML6_V5!$B$2:$B$827,A18)&gt;=1,"YES","NO")</f>
        <v>YES</v>
      </c>
      <c r="C18" s="3" t="s">
        <v>742</v>
      </c>
      <c r="D18" s="3" t="str">
        <f aca="false">IF(COUNTIF(Final_CB_ML6_V5!$C$2:$C$827,C18)&gt;=1,"YES","NO")</f>
        <v>YES</v>
      </c>
      <c r="F18" s="4" t="str">
        <f aca="false">IFERROR(__xludf.dummyfunction("""COMPUTED_VALUE"""),"clarifications::about::question::of::bp/feature::in::previous::mail")</f>
        <v>clarifications::about::question::of::bp/feature::in::previous::mail</v>
      </c>
      <c r="G18" s="4" t="str">
        <f aca="false">IFERROR(__xludf.dummyfunction("""COMPUTED_VALUE"""),"discussing::compatebility::of::solution::design")</f>
        <v>discussing::compatebility::of::solution::design</v>
      </c>
      <c r="H18" s="4" t="str">
        <f aca="false">IFERROR(__xludf.dummyfunction("""COMPUTED_VALUE"""),"answering::asking::for::creation::(specification::new::API)")</f>
        <v>answering::asking::for::creation::(specification::new::API)</v>
      </c>
    </row>
    <row r="19" customFormat="false" ht="15.75" hidden="false" customHeight="false" outlineLevel="0" collapsed="false">
      <c r="A19" s="3" t="s">
        <v>743</v>
      </c>
      <c r="B19" s="3" t="str">
        <f aca="false">IF(COUNTIF(Final_CB_ML6_V5!$B$2:$B$827,A19)&gt;=1,"YES","NO")</f>
        <v>YES</v>
      </c>
      <c r="C19" s="3" t="s">
        <v>744</v>
      </c>
      <c r="D19" s="3" t="str">
        <f aca="false">IF(COUNTIF(Final_CB_ML6_V5!$C$2:$C$827,C19)&gt;=1,"YES","NO")</f>
        <v>YES</v>
      </c>
      <c r="F19" s="4" t="str">
        <f aca="false">IFERROR(__xludf.dummyfunction("""COMPUTED_VALUE"""),"clarified::concepts::of::the::mentioned::BP")</f>
        <v>clarified::concepts::of::the::mentioned::BP</v>
      </c>
      <c r="G19" s="4" t="str">
        <f aca="false">IFERROR(__xludf.dummyfunction("""COMPUTED_VALUE"""),"discussing::compatebility::of::solution::design::(with::related::feature)")</f>
        <v>discussing::compatebility::of::solution::design::(with::related::feature)</v>
      </c>
      <c r="H19" s="4" t="str">
        <f aca="false">IFERROR(__xludf.dummyfunction("""COMPUTED_VALUE"""),"answering::clarifications::about::development::process::(testing)")</f>
        <v>answering::clarifications::about::development::process::(testing)</v>
      </c>
    </row>
    <row r="20" customFormat="false" ht="15.75" hidden="false" customHeight="false" outlineLevel="0" collapsed="false">
      <c r="A20" s="3" t="s">
        <v>745</v>
      </c>
      <c r="B20" s="3" t="str">
        <f aca="false">IF(COUNTIF(Final_CB_ML6_V5!$B$2:$B$827,A20)&gt;=1,"YES","NO")</f>
        <v>YES</v>
      </c>
      <c r="C20" s="3" t="s">
        <v>746</v>
      </c>
      <c r="D20" s="3" t="str">
        <f aca="false">IF(COUNTIF(Final_CB_ML6_V5!$C$2:$C$827,C20)&gt;=1,"YES","NO")</f>
        <v>YES</v>
      </c>
      <c r="F20" s="4" t="str">
        <f aca="false">IFERROR(__xludf.dummyfunction("""COMPUTED_VALUE"""),"complaining::about::previous::bad::developing")</f>
        <v>complaining::about::previous::bad::developing</v>
      </c>
      <c r="G20" s="4" t="str">
        <f aca="false">IFERROR(__xludf.dummyfunction("""COMPUTED_VALUE"""),"discussing::core::reviewer::assignment")</f>
        <v>discussing::core::reviewer::assignment</v>
      </c>
      <c r="H20" s="4" t="str">
        <f aca="false">IFERROR(__xludf.dummyfunction("""COMPUTED_VALUE"""),"approving::the::idea-of::working::in::the::creation::prroposed::BP/feature::to::adress::identified::bug")</f>
        <v>approving::the::idea-of::working::in::the::creation::prroposed::BP/feature::to::adress::identified::bug</v>
      </c>
    </row>
    <row r="21" customFormat="false" ht="15.75" hidden="false" customHeight="false" outlineLevel="0" collapsed="false">
      <c r="A21" s="3" t="s">
        <v>747</v>
      </c>
      <c r="B21" s="3" t="str">
        <f aca="false">IF(COUNTIF(Final_CB_ML6_V5!$B$2:$B$827,A21)&gt;=1,"YES","NO")</f>
        <v>YES</v>
      </c>
      <c r="C21" s="3" t="s">
        <v>748</v>
      </c>
      <c r="D21" s="3" t="str">
        <f aca="false">IF(COUNTIF(Final_CB_ML6_V5!$C$2:$C$827,C21)&gt;=1,"YES","NO")</f>
        <v>YES</v>
      </c>
      <c r="F21" s="4" t="str">
        <f aca="false">IFERROR(__xludf.dummyfunction("""COMPUTED_VALUE"""),"conditions::to::deprecate::a::feature::(not::BP)")</f>
        <v>conditions::to::deprecate::a::feature::(not::BP)</v>
      </c>
      <c r="G21" s="4" t="str">
        <f aca="false">IFERROR(__xludf.dummyfunction("""COMPUTED_VALUE"""),"discussing::developer::assignment")</f>
        <v>discussing::developer::assignment</v>
      </c>
      <c r="H21" s="4" t="str">
        <f aca="false">IFERROR(__xludf.dummyfunction("""COMPUTED_VALUE"""),"asking::about::one::design::choice::of::implementation::(hybrid::compute::nodes)")</f>
        <v>asking::about::one::design::choice::of::implementation::(hybrid::compute::nodes)</v>
      </c>
    </row>
    <row r="22" customFormat="false" ht="15.75" hidden="false" customHeight="false" outlineLevel="0" collapsed="false">
      <c r="A22" s="3" t="s">
        <v>749</v>
      </c>
      <c r="B22" s="3" t="str">
        <f aca="false">IF(COUNTIF(Final_CB_ML6_V5!$B$2:$B$827,A22)&gt;=1,"YES","NO")</f>
        <v>YES</v>
      </c>
      <c r="C22" s="3" t="s">
        <v>750</v>
      </c>
      <c r="D22" s="3" t="str">
        <f aca="false">IF(COUNTIF(Final_CB_ML6_V5!$C$2:$C$827,C22)&gt;=1,"YES","NO")</f>
        <v>YES</v>
      </c>
      <c r="F22" s="4" t="str">
        <f aca="false">IFERROR(__xludf.dummyfunction("""COMPUTED_VALUE"""),"cons::and::pros::design::choice::to::deprecating::project::inside::nova")</f>
        <v>cons::and::pros::design::choice::to::deprecating::project::inside::nova</v>
      </c>
      <c r="G22" s="4" t="str">
        <f aca="false">IFERROR(__xludf.dummyfunction("""COMPUTED_VALUE"""),"discussing::intended::solution::design")</f>
        <v>discussing::intended::solution::design</v>
      </c>
      <c r="H22" s="4" t="str">
        <f aca="false">IFERROR(__xludf.dummyfunction("""COMPUTED_VALUE"""),"asking::about::selecting::between::design::options::of::implementation(hybrid::compute::nodes)")</f>
        <v>asking::about::selecting::between::design::options::of::implementation(hybrid::compute::nodes)</v>
      </c>
    </row>
    <row r="23" customFormat="false" ht="15.75" hidden="false" customHeight="false" outlineLevel="0" collapsed="false">
      <c r="A23" s="3" t="s">
        <v>751</v>
      </c>
      <c r="B23" s="3" t="str">
        <f aca="false">IF(COUNTIF(Final_CB_ML6_V5!$B$2:$B$827,A23)&gt;=1,"YES","NO")</f>
        <v>YES</v>
      </c>
      <c r="C23" s="3" t="s">
        <v>752</v>
      </c>
      <c r="D23" s="3" t="str">
        <f aca="false">IF(COUNTIF(Final_CB_ML6_V5!$C$2:$C$827,C23)&gt;=1,"YES","NO")</f>
        <v>YES</v>
      </c>
      <c r="F23" s="4" t="str">
        <f aca="false">IFERROR(__xludf.dummyfunction("""COMPUTED_VALUE"""),"criticallity::of::bugs")</f>
        <v>criticallity::of::bugs</v>
      </c>
      <c r="G23" s="4" t="str">
        <f aca="false">IFERROR(__xludf.dummyfunction("""COMPUTED_VALUE"""),"discussing::intended::test::setup")</f>
        <v>discussing::intended::test::setup</v>
      </c>
      <c r="H23" s="4" t="str">
        <f aca="false">IFERROR(__xludf.dummyfunction("""COMPUTED_VALUE"""),"asking::advice::development::process::(meetings)")</f>
        <v>asking::advice::development::process::(meetings)</v>
      </c>
    </row>
    <row r="24" customFormat="false" ht="15.75" hidden="false" customHeight="false" outlineLevel="0" collapsed="false">
      <c r="A24" s="3" t="s">
        <v>753</v>
      </c>
      <c r="B24" s="3" t="str">
        <f aca="false">IF(COUNTIF(Final_CB_ML6_V5!$B$2:$B$827,A24)&gt;=1,"YES","NO")</f>
        <v>YES</v>
      </c>
      <c r="C24" s="3" t="s">
        <v>754</v>
      </c>
      <c r="D24" s="3" t="str">
        <f aca="false">IF(COUNTIF(Final_CB_ML6_V5!$C$2:$C$827,C24)&gt;=1,"YES","NO")</f>
        <v>YES</v>
      </c>
      <c r="F24" s="4" t="str">
        <f aca="false">IFERROR(__xludf.dummyfunction("""COMPUTED_VALUE"""),"deadline::of::tasks::associated::to::BP::approaching")</f>
        <v>deadline::of::tasks::associated::to::BP::approaching</v>
      </c>
      <c r="G24" s="4" t="str">
        <f aca="false">IFERROR(__xludf.dummyfunction("""COMPUTED_VALUE"""),"discussing::plan::development::process::(reviews)")</f>
        <v>discussing::plan::development::process::(reviews)</v>
      </c>
      <c r="H24" s="4" t="str">
        <f aca="false">IFERROR(__xludf.dummyfunction("""COMPUTED_VALUE"""),"asking::advice::development::process::(reviewers::permissions::timing)")</f>
        <v>asking::advice::development::process::(reviewers::permissions::timing)</v>
      </c>
    </row>
    <row r="25" customFormat="false" ht="15.75" hidden="false" customHeight="false" outlineLevel="0" collapsed="false">
      <c r="A25" s="3" t="s">
        <v>755</v>
      </c>
      <c r="B25" s="3" t="str">
        <f aca="false">IF(COUNTIF(Final_CB_ML6_V5!$B$2:$B$827,A25)&gt;=1,"YES","NO")</f>
        <v>YES</v>
      </c>
      <c r="C25" s="3" t="s">
        <v>730</v>
      </c>
      <c r="D25" s="3" t="str">
        <f aca="false">IF(COUNTIF(Final_CB_ML6_V5!$C$2:$C$827,C25)&gt;=1,"YES","NO")</f>
        <v>YES</v>
      </c>
      <c r="F25" s="4" t="str">
        <f aca="false">IFERROR(__xludf.dummyfunction("""COMPUTED_VALUE"""),"discussing::about::plan::development::process::(steps)")</f>
        <v>discussing::about::plan::development::process::(steps)</v>
      </c>
      <c r="G25" s="4" t="str">
        <f aca="false">IFERROR(__xludf.dummyfunction("""COMPUTED_VALUE"""),"discussing::plan::development::process::(timeframe)")</f>
        <v>discussing::plan::development::process::(timeframe)</v>
      </c>
      <c r="H25" s="4" t="str">
        <f aca="false">IFERROR(__xludf.dummyfunction("""COMPUTED_VALUE"""),"asking::advice::development::process::(split::changes::into::smaller::pieces)")</f>
        <v>asking::advice::development::process::(split::changes::into::smaller::pieces)</v>
      </c>
    </row>
    <row r="26" customFormat="false" ht="15.75" hidden="false" customHeight="false" outlineLevel="0" collapsed="false">
      <c r="A26" s="3" t="s">
        <v>756</v>
      </c>
      <c r="B26" s="3" t="str">
        <f aca="false">IF(COUNTIF(Final_CB_ML6_V5!$B$2:$B$827,A26)&gt;=1,"YES","NO")</f>
        <v>YES</v>
      </c>
      <c r="C26" s="3" t="s">
        <v>757</v>
      </c>
      <c r="D26" s="3" t="str">
        <f aca="false">IF(COUNTIF(Final_CB_ML6_V5!$C$2:$C$827,C26)&gt;=1,"YES","NO")</f>
        <v>YES</v>
      </c>
      <c r="F26" s="4" t="str">
        <f aca="false">IFERROR(__xludf.dummyfunction("""COMPUTED_VALUE"""),"discussing::development::process::(developer::team)")</f>
        <v>discussing::development::process::(developer::team)</v>
      </c>
      <c r="G26" s="4" t="str">
        <f aca="false">IFERROR(__xludf.dummyfunction("""COMPUTED_VALUE"""),"discussing::test::coverage")</f>
        <v>discussing::test::coverage</v>
      </c>
      <c r="H26" s="4" t="str">
        <f aca="false">IFERROR(__xludf.dummyfunction("""COMPUTED_VALUE"""),"asking::advice::development::process::(tests)")</f>
        <v>asking::advice::development::process::(tests)</v>
      </c>
    </row>
    <row r="27" customFormat="false" ht="15.75" hidden="false" customHeight="false" outlineLevel="0" collapsed="false">
      <c r="A27" s="3" t="s">
        <v>758</v>
      </c>
      <c r="B27" s="3" t="str">
        <f aca="false">IF(COUNTIF(Final_CB_ML6_V5!$B$2:$B$827,A27)&gt;=1,"YES","NO")</f>
        <v>YES</v>
      </c>
      <c r="C27" s="3" t="s">
        <v>759</v>
      </c>
      <c r="D27" s="3" t="str">
        <f aca="false">IF(COUNTIF(Final_CB_ML6_V5!$C$2:$C$827,C27)&gt;=1,"YES","NO")</f>
        <v>YES</v>
      </c>
      <c r="F27" s="4" t="str">
        <f aca="false">IFERROR(__xludf.dummyfunction("""COMPUTED_VALUE"""),"discussing::development::process::(meetings)")</f>
        <v>discussing::development::process::(meetings)</v>
      </c>
      <c r="G27" s="4" t="str">
        <f aca="false">IFERROR(__xludf.dummyfunction("""COMPUTED_VALUE"""),"discussing::the::release::deadline::for::BP/feature")</f>
        <v>discussing::the::release::deadline::for::BP/feature</v>
      </c>
      <c r="H27" s="4" t="str">
        <f aca="false">IFERROR(__xludf.dummyfunction("""COMPUTED_VALUE"""),"asking::advice::development::process::(tests::process)")</f>
        <v>asking::advice::development::process::(tests::process)</v>
      </c>
    </row>
    <row r="28" customFormat="false" ht="15.75" hidden="false" customHeight="false" outlineLevel="0" collapsed="false">
      <c r="A28" s="3" t="s">
        <v>760</v>
      </c>
      <c r="B28" s="3" t="str">
        <f aca="false">IF(COUNTIF(Final_CB_ML6_V5!$B$2:$B$827,A28)&gt;=1,"YES","NO")</f>
        <v>YES</v>
      </c>
      <c r="C28" s="3" t="s">
        <v>761</v>
      </c>
      <c r="D28" s="3" t="str">
        <f aca="false">IF(COUNTIF(Final_CB_ML6_V5!$C$2:$C$827,C28)&gt;=1,"YES","NO")</f>
        <v>YES</v>
      </c>
      <c r="F28" s="4" t="str">
        <f aca="false">IFERROR(__xludf.dummyfunction("""COMPUTED_VALUE"""),"discussing::development::process::(next::meeting::related::BP::priority::not::delaying)")</f>
        <v>discussing::development::process::(next::meeting::related::BP::priority::not::delaying)</v>
      </c>
      <c r="G28" s="4" t="str">
        <f aca="false">IFERROR(__xludf.dummyfunction("""COMPUTED_VALUE"""),"FFE::request::(related::review)")</f>
        <v>FFE::request::(related::review)</v>
      </c>
      <c r="H28" s="4" t="str">
        <f aca="false">IFERROR(__xludf.dummyfunction("""COMPUTED_VALUE"""),"asking::advice::how::discussing::topic::online")</f>
        <v>asking::advice::how::discussing::topic::online</v>
      </c>
    </row>
    <row r="29" customFormat="false" ht="15.75" hidden="false" customHeight="false" outlineLevel="0" collapsed="false">
      <c r="A29" s="3" t="s">
        <v>762</v>
      </c>
      <c r="B29" s="3" t="str">
        <f aca="false">IF(COUNTIF(Final_CB_ML6_V5!$B$2:$B$827,A29)&gt;=1,"YES","NO")</f>
        <v>YES</v>
      </c>
      <c r="C29" s="3" t="s">
        <v>763</v>
      </c>
      <c r="D29" s="3" t="str">
        <f aca="false">IF(COUNTIF(Final_CB_ML6_V5!$C$2:$C$827,C29)&gt;=1,"YES","NO")</f>
        <v>YES</v>
      </c>
      <c r="F29" s="4" t="str">
        <f aca="false">IFERROR(__xludf.dummyfunction("""COMPUTED_VALUE"""),"discussing::keeping::inside::project::as::it::is")</f>
        <v>discussing::keeping::inside::project::as::it::is</v>
      </c>
      <c r="G29" s="4" t="str">
        <f aca="false">IFERROR(__xludf.dummyfunction("""COMPUTED_VALUE"""),"impact::of::bp::(security)")</f>
        <v>impact::of::bp::(security)</v>
      </c>
      <c r="H29" s="4" t="str">
        <f aca="false">IFERROR(__xludf.dummyfunction("""COMPUTED_VALUE"""),"asking::clarification::about::conditions::to::change::status::of::project::(removing:.label::experimental)::which::holds::the::BP")</f>
        <v>asking::clarification::about::conditions::to::change::status::of::project::(removing:.label::experimental)::which::holds::the::BP</v>
      </c>
    </row>
    <row r="30" customFormat="false" ht="15.75" hidden="false" customHeight="false" outlineLevel="0" collapsed="false">
      <c r="A30" s="3" t="s">
        <v>764</v>
      </c>
      <c r="B30" s="3" t="str">
        <f aca="false">IF(COUNTIF(Final_CB_ML6_V5!$B$2:$B$827,A30)&gt;=1,"YES","NO")</f>
        <v>YES</v>
      </c>
      <c r="C30" s="3" t="s">
        <v>765</v>
      </c>
      <c r="D30" s="3" t="str">
        <f aca="false">IF(COUNTIF(Final_CB_ML6_V5!$C$2:$C$827,C30)&gt;=1,"YES","NO")</f>
        <v>YES</v>
      </c>
      <c r="F30" s="4" t="str">
        <f aca="false">IFERROR(__xludf.dummyfunction("""COMPUTED_VALUE"""),"discussing::plan::development::process::(move::project::outside::nova)")</f>
        <v>discussing::plan::development::process::(move::project::outside::nova)</v>
      </c>
      <c r="G30" s="4" t="str">
        <f aca="false">IFERROR(__xludf.dummyfunction("""COMPUTED_VALUE"""),"informing::about::next::steps")</f>
        <v>informing::about::next::steps</v>
      </c>
      <c r="H30" s="4" t="str">
        <f aca="false">IFERROR(__xludf.dummyfunction("""COMPUTED_VALUE"""),"asking::clarification::about::cons::design::choice::(hybrid::compute::nodes)")</f>
        <v>asking::clarification::about::cons::design::choice::(hybrid::compute::nodes)</v>
      </c>
    </row>
    <row r="31" customFormat="false" ht="15.75" hidden="false" customHeight="false" outlineLevel="0" collapsed="false">
      <c r="A31" s="3" t="s">
        <v>766</v>
      </c>
      <c r="B31" s="3" t="str">
        <f aca="false">IF(COUNTIF(Final_CB_ML6_V5!$B$2:$B$827,A31)&gt;=1,"YES","NO")</f>
        <v>YES</v>
      </c>
      <c r="C31" s="3" t="s">
        <v>731</v>
      </c>
      <c r="D31" s="3" t="str">
        <f aca="false">IF(COUNTIF(Final_CB_ML6_V5!$C$2:$C$827,C31)&gt;=1,"YES","NO")</f>
        <v>YES</v>
      </c>
      <c r="F31" s="4" t="str">
        <f aca="false">IFERROR(__xludf.dummyfunction("""COMPUTED_VALUE"""),"discussing::providing::advice::development::process::(tests::move::them::out:nova)")</f>
        <v>discussing::providing::advice::development::process::(tests::move::them::out:nova)</v>
      </c>
      <c r="G31" s="4" t="str">
        <f aca="false">IFERROR(__xludf.dummyfunction("""COMPUTED_VALUE"""),"informing::added::comment::(bug)")</f>
        <v>informing::added::comment::(bug)</v>
      </c>
      <c r="H31" s="4" t="str">
        <f aca="false">IFERROR(__xludf.dummyfunction("""COMPUTED_VALUE"""),"asking::clarification::about::functionallity::(current::code)")</f>
        <v>asking::clarification::about::functionallity::(current::code)</v>
      </c>
    </row>
    <row r="32" customFormat="false" ht="15.75" hidden="false" customHeight="false" outlineLevel="0" collapsed="false">
      <c r="A32" s="3" t="s">
        <v>767</v>
      </c>
      <c r="B32" s="3" t="str">
        <f aca="false">IF(COUNTIF(Final_CB_ML6_V5!$B$2:$B$827,A32)&gt;=1,"YES","NO")</f>
        <v>YES</v>
      </c>
      <c r="C32" s="3" t="s">
        <v>768</v>
      </c>
      <c r="D32" s="3" t="str">
        <f aca="false">IF(COUNTIF(Final_CB_ML6_V5!$C$2:$C$827,C32)&gt;=1,"YES","NO")</f>
        <v>YES</v>
      </c>
      <c r="F32" s="4" t="str">
        <f aca="false">IFERROR(__xludf.dummyfunction("""COMPUTED_VALUE"""),"discussing::solution::design")</f>
        <v>discussing::solution::design</v>
      </c>
      <c r="G32" s="4" t="str">
        <f aca="false">IFERROR(__xludf.dummyfunction("""COMPUTED_VALUE"""),"informing::bp::updated")</f>
        <v>informing::bp::updated</v>
      </c>
      <c r="H32" s="4" t="str">
        <f aca="false">IFERROR(__xludf.dummyfunction("""COMPUTED_VALUE"""),"asking::clarification::about::functionallity::(how::to::enable::in::the::future)::design")</f>
        <v>asking::clarification::about::functionallity::(how::to::enable::in::the::future)::design</v>
      </c>
    </row>
    <row r="33" customFormat="false" ht="15.75" hidden="false" customHeight="false" outlineLevel="0" collapsed="false">
      <c r="A33" s="3" t="s">
        <v>769</v>
      </c>
      <c r="B33" s="3" t="str">
        <f aca="false">IF(COUNTIF(Final_CB_ML6_V5!$B$2:$B$827,A33)&gt;=1,"YES","NO")</f>
        <v>YES</v>
      </c>
      <c r="C33" s="3" t="s">
        <v>732</v>
      </c>
      <c r="D33" s="3" t="str">
        <f aca="false">IF(COUNTIF(Final_CB_ML6_V5!$C$2:$C$827,C33)&gt;=1,"YES","NO")</f>
        <v>YES</v>
      </c>
      <c r="F33" s="4" t="str">
        <f aca="false">IFERROR(__xludf.dummyfunction("""COMPUTED_VALUE"""),"discussing::solution::design::(requirements::of::the::solution)")</f>
        <v>discussing::solution::design::(requirements::of::the::solution)</v>
      </c>
      <c r="G33" s="4" t="str">
        <f aca="false">IFERROR(__xludf.dummyfunction("""COMPUTED_VALUE"""),"informing::extension::of::scope::for::blueprint")</f>
        <v>informing::extension::of::scope::for::blueprint</v>
      </c>
      <c r="H33" s="4" t="str">
        <f aca="false">IFERROR(__xludf.dummyfunction("""COMPUTED_VALUE"""),"asking::clarification::about::location::of::resources::(selected::design::choice)")</f>
        <v>asking::clarification::about::location::of::resources::(selected::design::choice)</v>
      </c>
    </row>
    <row r="34" customFormat="false" ht="15.75" hidden="false" customHeight="false" outlineLevel="0" collapsed="false">
      <c r="A34" s="3" t="s">
        <v>770</v>
      </c>
      <c r="B34" s="3" t="str">
        <f aca="false">IF(COUNTIF(Final_CB_ML6_V5!$B$2:$B$827,A34)&gt;=1,"YES","NO")</f>
        <v>YES</v>
      </c>
      <c r="C34" s="3" t="s">
        <v>771</v>
      </c>
      <c r="D34" s="3" t="str">
        <f aca="false">IF(COUNTIF(Final_CB_ML6_V5!$C$2:$C$827,C34)&gt;=1,"YES","NO")</f>
        <v>YES</v>
      </c>
      <c r="F34" s="4" t="str">
        <f aca="false">IFERROR(__xludf.dummyfunction("""COMPUTED_VALUE"""),"discussing::topics::of::a::BP::related")</f>
        <v>discussing::topics::of::a::BP::related</v>
      </c>
      <c r="G34" s="4" t="str">
        <f aca="false">IFERROR(__xludf.dummyfunction("""COMPUTED_VALUE"""),"informing::feature::waiting::for::completion::(review::approval)")</f>
        <v>informing::feature::waiting::for::completion::(review::approval)</v>
      </c>
      <c r="H34" s="4" t="str">
        <f aca="false">IFERROR(__xludf.dummyfunction("""COMPUTED_VALUE"""),"asking::clarification::about::more::details::of::the::design::choice::(flow)")</f>
        <v>asking::clarification::about::more::details::of::the::design::choice::(flow)</v>
      </c>
    </row>
    <row r="35" customFormat="false" ht="15.75" hidden="false" customHeight="false" outlineLevel="0" collapsed="false">
      <c r="A35" s="3" t="s">
        <v>772</v>
      </c>
      <c r="B35" s="3" t="str">
        <f aca="false">IF(COUNTIF(Final_CB_ML6_V5!$B$2:$B$827,A35)&gt;=1,"YES","NO")</f>
        <v>YES</v>
      </c>
      <c r="C35" s="3" t="s">
        <v>773</v>
      </c>
      <c r="D35" s="3" t="str">
        <f aca="false">IF(COUNTIF(Final_CB_ML6_V5!$C$2:$C$827,C35)&gt;=1,"YES","NO")</f>
        <v>YES</v>
      </c>
      <c r="F35" s="4" t="str">
        <f aca="false">IFERROR(__xludf.dummyfunction("""COMPUTED_VALUE"""),"errors::encounter::while::following::the::BP/feature::especification")</f>
        <v>errors::encounter::while::following::the::BP/feature::especification</v>
      </c>
      <c r="G35" s="4" t="str">
        <f aca="false">IFERROR(__xludf.dummyfunction("""COMPUTED_VALUE"""),"informing::found::another::reasong::for::bug")</f>
        <v>informing::found::another::reasong::for::bug</v>
      </c>
      <c r="H35" s="4" t="str">
        <f aca="false">IFERROR(__xludf.dummyfunction("""COMPUTED_VALUE"""),"asking::clarification::about::status::of::project::(removing:.label::experimental)::which::holds::the::BP")</f>
        <v>asking::clarification::about::status::of::project::(removing:.label::experimental)::which::holds::the::BP</v>
      </c>
    </row>
    <row r="36" customFormat="false" ht="15.75" hidden="false" customHeight="false" outlineLevel="0" collapsed="false">
      <c r="A36" s="3" t="s">
        <v>774</v>
      </c>
      <c r="B36" s="3" t="str">
        <f aca="false">IF(COUNTIF(Final_CB_ML6_V5!$B$2:$B$827,A36)&gt;=1,"YES","NO")</f>
        <v>YES</v>
      </c>
      <c r="C36" s="3" t="s">
        <v>775</v>
      </c>
      <c r="D36" s="3" t="str">
        <f aca="false">IF(COUNTIF(Final_CB_ML6_V5!$C$2:$C$827,C36)&gt;=1,"YES","NO")</f>
        <v>YES</v>
      </c>
      <c r="F36" s="4" t="str">
        <f aca="false">IFERROR(__xludf.dummyfunction("""COMPUTED_VALUE"""),"feature::parity::between::main::project::and::forked::one")</f>
        <v>feature::parity::between::main::project::and::forked::one</v>
      </c>
      <c r="G36" s="4" t="str">
        <f aca="false">IFERROR(__xludf.dummyfunction("""COMPUTED_VALUE"""),"informing::improvement::(live::migration)")</f>
        <v>informing::improvement::(live::migration)</v>
      </c>
      <c r="H36" s="4" t="str">
        <f aca="false">IFERROR(__xludf.dummyfunction("""COMPUTED_VALUE"""),"asking::clarification::interaction::of::different::projects::(nova::neutron)::with::the::change::introduced::by::the:BP")</f>
        <v>asking::clarification::interaction::of::different::projects::(nova::neutron)::with::the::change::introduced::by::the:BP</v>
      </c>
    </row>
    <row r="37" customFormat="false" ht="15.75" hidden="false" customHeight="false" outlineLevel="0" collapsed="false">
      <c r="A37" s="3" t="s">
        <v>776</v>
      </c>
      <c r="B37" s="3" t="str">
        <f aca="false">IF(COUNTIF(Final_CB_ML6_V5!$B$2:$B$827,A37)&gt;=1,"YES","NO")</f>
        <v>YES</v>
      </c>
      <c r="C37" s="3" t="s">
        <v>777</v>
      </c>
      <c r="D37" s="3" t="str">
        <f aca="false">IF(COUNTIF(Final_CB_ML6_V5!$C$2:$C$827,C37)&gt;=1,"YES","NO")</f>
        <v>YES</v>
      </c>
      <c r="F37" s="4" t="str">
        <f aca="false">IFERROR(__xludf.dummyfunction("""COMPUTED_VALUE"""),"FFE::request")</f>
        <v>FFE::request</v>
      </c>
      <c r="G37" s="4" t="str">
        <f aca="false">IFERROR(__xludf.dummyfunction("""COMPUTED_VALUE"""),"informing::in::favor::(ffe)")</f>
        <v>informing::in::favor::(ffe)</v>
      </c>
      <c r="H37" s="4" t="str">
        <f aca="false">IFERROR(__xludf.dummyfunction("""COMPUTED_VALUE"""),"asking::clarification::on::discussing::solution::design::(requirements::of::the::solution)")</f>
        <v>asking::clarification::on::discussing::solution::design::(requirements::of::the::solution)</v>
      </c>
    </row>
    <row r="38" customFormat="false" ht="15.75" hidden="false" customHeight="false" outlineLevel="0" collapsed="false">
      <c r="A38" s="3" t="s">
        <v>778</v>
      </c>
      <c r="B38" s="3" t="str">
        <f aca="false">IF(COUNTIF(Final_CB_ML6_V5!$B$2:$B$827,A38)&gt;=1,"YES","NO")</f>
        <v>YES</v>
      </c>
      <c r="C38" s="3" t="s">
        <v>779</v>
      </c>
      <c r="D38" s="3" t="str">
        <f aca="false">IF(COUNTIF(Final_CB_ML6_V5!$C$2:$C$827,C38)&gt;=1,"YES","NO")</f>
        <v>YES</v>
      </c>
      <c r="F38" s="4" t="str">
        <f aca="false">IFERROR(__xludf.dummyfunction("""COMPUTED_VALUE"""),"functionality::that::was::enabled::thanks::to::the::BP::introduced::a::bug")</f>
        <v>functionality::that::was::enabled::thanks::to::the::BP::introduced::a::bug</v>
      </c>
      <c r="G38" s="4" t="str">
        <f aca="false">IFERROR(__xludf.dummyfunction("""COMPUTED_VALUE"""),"informing::in::favour::(fix)")</f>
        <v>informing::in::favour::(fix)</v>
      </c>
      <c r="H38" s="4" t="str">
        <f aca="false">IFERROR(__xludf.dummyfunction("""COMPUTED_VALUE"""),"asking::clarification::on::the::design::decision::taken::(hybrid::compute::nodes)")</f>
        <v>asking::clarification::on::the::design::decision::taken::(hybrid::compute::nodes)</v>
      </c>
    </row>
    <row r="39" customFormat="false" ht="15.75" hidden="false" customHeight="false" outlineLevel="0" collapsed="false">
      <c r="A39" s="3" t="s">
        <v>780</v>
      </c>
      <c r="B39" s="3" t="str">
        <f aca="false">IF(COUNTIF(Final_CB_ML6_V5!$B$2:$B$827,A39)&gt;=1,"YES","NO")</f>
        <v>YES</v>
      </c>
      <c r="C39" s="3" t="s">
        <v>781</v>
      </c>
      <c r="D39" s="3" t="str">
        <f aca="false">IF(COUNTIF(Final_CB_ML6_V5!$C$2:$C$827,C39)&gt;=1,"YES","NO")</f>
        <v>YES</v>
      </c>
      <c r="F39" s="4" t="str">
        <f aca="false">IFERROR(__xludf.dummyfunction("""COMPUTED_VALUE"""),"indicating::information::(development::progress)")</f>
        <v>indicating::information::(development::progress)</v>
      </c>
      <c r="G39" s="4" t="str">
        <f aca="false">IFERROR(__xludf.dummyfunction("""COMPUTED_VALUE"""),"informing::in::favour::(merge)")</f>
        <v>informing::in::favour::(merge)</v>
      </c>
      <c r="H39" s="4" t="str">
        <f aca="false">IFERROR(__xludf.dummyfunction("""COMPUTED_VALUE"""),"asking::clarifications::about::bug::trace::implications")</f>
        <v>asking::clarifications::about::bug::trace::implications</v>
      </c>
    </row>
    <row r="40" customFormat="false" ht="15.75" hidden="false" customHeight="false" outlineLevel="0" collapsed="false">
      <c r="A40" s="3" t="s">
        <v>782</v>
      </c>
      <c r="B40" s="3" t="str">
        <f aca="false">IF(COUNTIF(Final_CB_ML6_V5!$B$2:$B$827,A40)&gt;=1,"YES","NO")</f>
        <v>YES</v>
      </c>
      <c r="C40" s="3" t="s">
        <v>735</v>
      </c>
      <c r="D40" s="3" t="str">
        <f aca="false">IF(COUNTIF(Final_CB_ML6_V5!$C$2:$C$827,C40)&gt;=1,"YES","NO")</f>
        <v>YES</v>
      </c>
      <c r="F40" s="4" t="str">
        <f aca="false">IFERROR(__xludf.dummyfunction("""COMPUTED_VALUE"""),"informing::filing::blue::print::to::track::progress")</f>
        <v>informing::filing::blue::print::to::track::progress</v>
      </c>
      <c r="G40" s="4" t="str">
        <f aca="false">IFERROR(__xludf.dummyfunction("""COMPUTED_VALUE"""),"informing::low::interest::(by::devs::of::related::project)")</f>
        <v>informing::low::interest::(by::devs::of::related::project)</v>
      </c>
      <c r="H40" s="4" t="str">
        <f aca="false">IFERROR(__xludf.dummyfunction("""COMPUTED_VALUE"""),"asking::clarifications::about::development::process::(tests::process)")</f>
        <v>asking::clarifications::about::development::process::(tests::process)</v>
      </c>
    </row>
    <row r="41" customFormat="false" ht="15.75" hidden="false" customHeight="false" outlineLevel="0" collapsed="false">
      <c r="A41" s="3" t="s">
        <v>783</v>
      </c>
      <c r="B41" s="3" t="str">
        <f aca="false">IF(COUNTIF(Final_CB_ML6_V5!$B$2:$B$827,A41)&gt;=1,"YES","NO")</f>
        <v>YES</v>
      </c>
      <c r="C41" s="3" t="s">
        <v>784</v>
      </c>
      <c r="D41" s="3" t="str">
        <f aca="false">IF(COUNTIF(Final_CB_ML6_V5!$C$2:$C$827,C41)&gt;=1,"YES","NO")</f>
        <v>YES</v>
      </c>
      <c r="F41" s="4" t="str">
        <f aca="false">IFERROR(__xludf.dummyfunction("""COMPUTED_VALUE"""),"informing::filing::bug::to::track::progress")</f>
        <v>informing::filing::bug::to::track::progress</v>
      </c>
      <c r="G41" s="4" t="str">
        <f aca="false">IFERROR(__xludf.dummyfunction("""COMPUTED_VALUE"""),"informing::preference::implementation::timeframe::(sooner::than::later)")</f>
        <v>informing::preference::implementation::timeframe::(sooner::than::later)</v>
      </c>
      <c r="H41" s="4" t="str">
        <f aca="false">IFERROR(__xludf.dummyfunction("""COMPUTED_VALUE"""),"asking::clarifications::about::proposed::solution::to::bug::due::to::new::functionality::that::was::enabled::thanks::to::the::BP::(compatibility)")</f>
        <v>asking::clarifications::about::proposed::solution::to::bug::due::to::new::functionality::that::was::enabled::thanks::to::the::BP::(compatibility)</v>
      </c>
    </row>
    <row r="42" customFormat="false" ht="15.75" hidden="false" customHeight="false" outlineLevel="0" collapsed="false">
      <c r="A42" s="3" t="s">
        <v>785</v>
      </c>
      <c r="B42" s="3" t="str">
        <f aca="false">IF(COUNTIF(Final_CB_ML6_V5!$B$2:$B$827,A42)&gt;=1,"YES","NO")</f>
        <v>YES</v>
      </c>
      <c r="C42" s="3" t="s">
        <v>786</v>
      </c>
      <c r="D42" s="3" t="str">
        <f aca="false">IF(COUNTIF(Final_CB_ML6_V5!$C$2:$C$827,C42)&gt;=1,"YES","NO")</f>
        <v>YES</v>
      </c>
      <c r="F42" s="4" t="str">
        <f aca="false">IFERROR(__xludf.dummyfunction("""COMPUTED_VALUE"""),"informing::where::bug::occures")</f>
        <v>informing::where::bug::occures</v>
      </c>
      <c r="G42" s="4" t="str">
        <f aca="false">IFERROR(__xludf.dummyfunction("""COMPUTED_VALUE"""),"informing::previous::decision")</f>
        <v>informing::previous::decision</v>
      </c>
      <c r="H42" s="4" t="str">
        <f aca="false">IFERROR(__xludf.dummyfunction("""COMPUTED_VALUE"""),"asking::clarifications::history::of::the::bug/BP")</f>
        <v>asking::clarifications::history::of::the::bug/BP</v>
      </c>
    </row>
    <row r="43" customFormat="false" ht="15.75" hidden="false" customHeight="false" outlineLevel="0" collapsed="false">
      <c r="A43" s="3" t="s">
        <v>787</v>
      </c>
      <c r="B43" s="3" t="str">
        <f aca="false">IF(COUNTIF(Final_CB_ML6_V5!$B$2:$B$827,A43)&gt;=1,"YES","NO")</f>
        <v>YES</v>
      </c>
      <c r="C43" s="3" t="s">
        <v>788</v>
      </c>
      <c r="D43" s="3" t="str">
        <f aca="false">IF(COUNTIF(Final_CB_ML6_V5!$C$2:$C$827,C43)&gt;=1,"YES","NO")</f>
        <v>YES</v>
      </c>
      <c r="F43" s="4" t="str">
        <f aca="false">IFERROR(__xludf.dummyfunction("""COMPUTED_VALUE"""),"inviting::developer::to::help::with::the::development")</f>
        <v>inviting::developer::to::help::with::the::development</v>
      </c>
      <c r="G43" s="4" t="str">
        <f aca="false">IFERROR(__xludf.dummyfunction("""COMPUTED_VALUE"""),"informing::previous::experience::with::topic")</f>
        <v>informing::previous::experience::with::topic</v>
      </c>
      <c r="H43" s="4" t="str">
        <f aca="false">IFERROR(__xludf.dummyfunction("""COMPUTED_VALUE"""),"asking::for::approval::of::the::implmentation::(review)")</f>
        <v>asking::for::approval::of::the::implmentation::(review)</v>
      </c>
    </row>
    <row r="44" customFormat="false" ht="15.75" hidden="false" customHeight="false" outlineLevel="0" collapsed="false">
      <c r="A44" s="3" t="s">
        <v>789</v>
      </c>
      <c r="B44" s="3" t="str">
        <f aca="false">IF(COUNTIF(Final_CB_ML6_V5!$B$2:$B$827,A44)&gt;=1,"YES","NO")</f>
        <v>YES</v>
      </c>
      <c r="C44" s="3" t="s">
        <v>741</v>
      </c>
      <c r="D44" s="3" t="str">
        <f aca="false">IF(COUNTIF(Final_CB_ML6_V5!$C$2:$C$827,C44)&gt;=1,"YES","NO")</f>
        <v>YES</v>
      </c>
      <c r="F44" s="4" t="str">
        <f aca="false">IFERROR(__xludf.dummyfunction("""COMPUTED_VALUE"""),"mentioned::the::BP")</f>
        <v>mentioned::the::BP</v>
      </c>
      <c r="G44" s="4" t="str">
        <f aca="false">IFERROR(__xludf.dummyfunction("""COMPUTED_VALUE"""),"informing::progress")</f>
        <v>informing::progress</v>
      </c>
      <c r="H44" s="4" t="str">
        <f aca="false">IFERROR(__xludf.dummyfunction("""COMPUTED_VALUE"""),"asking::for::plan::development::process::(move::project::outside::nova)")</f>
        <v>asking::for::plan::development::process::(move::project::outside::nova)</v>
      </c>
    </row>
    <row r="45" customFormat="false" ht="15.75" hidden="false" customHeight="false" outlineLevel="0" collapsed="false">
      <c r="A45" s="3" t="s">
        <v>790</v>
      </c>
      <c r="B45" s="3" t="str">
        <f aca="false">IF(COUNTIF(Final_CB_ML6_V5!$B$2:$B$827,A45)&gt;=1,"YES","NO")</f>
        <v>YES</v>
      </c>
      <c r="C45" s="3" t="s">
        <v>743</v>
      </c>
      <c r="D45" s="3" t="str">
        <f aca="false">IF(COUNTIF(Final_CB_ML6_V5!$C$2:$C$827,C45)&gt;=1,"YES","NO")</f>
        <v>YES</v>
      </c>
      <c r="F45" s="4" t="str">
        <f aca="false">IFERROR(__xludf.dummyfunction("""COMPUTED_VALUE"""),"mentioning::related::bp")</f>
        <v>mentioning::related::bp</v>
      </c>
      <c r="G45" s="4" t="str">
        <f aca="false">IFERROR(__xludf.dummyfunction("""COMPUTED_VALUE"""),"informing::progress::(tests)")</f>
        <v>informing::progress::(tests)</v>
      </c>
      <c r="H45" s="4" t="str">
        <f aca="false">IFERROR(__xludf.dummyfunction("""COMPUTED_VALUE"""),"asking::if::different::bug::could::be::related::to::current::bug")</f>
        <v>asking::if::different::bug::could::be::related::to::current::bug</v>
      </c>
    </row>
    <row r="46" customFormat="false" ht="15.75" hidden="false" customHeight="false" outlineLevel="0" collapsed="false">
      <c r="A46" s="3" t="s">
        <v>791</v>
      </c>
      <c r="B46" s="3" t="str">
        <f aca="false">IF(COUNTIF(Final_CB_ML6_V5!$B$2:$B$827,A46)&gt;=1,"YES","NO")</f>
        <v>YES</v>
      </c>
      <c r="C46" s="3" t="s">
        <v>792</v>
      </c>
      <c r="D46" s="3" t="str">
        <f aca="false">IF(COUNTIF(Final_CB_ML6_V5!$C$2:$C$827,C46)&gt;=1,"YES","NO")</f>
        <v>YES</v>
      </c>
      <c r="F46" s="4" t="str">
        <f aca="false">IFERROR(__xludf.dummyfunction("""COMPUTED_VALUE"""),"mentioning::related::bug")</f>
        <v>mentioning::related::bug</v>
      </c>
      <c r="G46" s="4" t="str">
        <f aca="false">IFERROR(__xludf.dummyfunction("""COMPUTED_VALUE"""),"informing::prove::of::concept")</f>
        <v>informing::prove::of::concept</v>
      </c>
      <c r="H46" s="4" t="str">
        <f aca="false">IFERROR(__xludf.dummyfunction("""COMPUTED_VALUE"""),"asking::plans::move::project::ouside::nova")</f>
        <v>asking::plans::move::project::ouside::nova</v>
      </c>
    </row>
    <row r="47" customFormat="false" ht="15.75" hidden="false" customHeight="false" outlineLevel="0" collapsed="false">
      <c r="A47" s="3" t="s">
        <v>793</v>
      </c>
      <c r="B47" s="3" t="str">
        <f aca="false">IF(COUNTIF(Final_CB_ML6_V5!$B$2:$B$827,A47)&gt;=1,"YES","NO")</f>
        <v>YES</v>
      </c>
      <c r="C47" s="3" t="s">
        <v>794</v>
      </c>
      <c r="D47" s="3" t="str">
        <f aca="false">IF(COUNTIF(Final_CB_ML6_V5!$C$2:$C$827,C47)&gt;=1,"YES","NO")</f>
        <v>YES</v>
      </c>
      <c r="F47" s="4" t="str">
        <f aca="false">IFERROR(__xludf.dummyfunction("""COMPUTED_VALUE"""),"mentioning::related::review")</f>
        <v>mentioning::related::review</v>
      </c>
      <c r="G47" s="4" t="str">
        <f aca="false">IFERROR(__xludf.dummyfunction("""COMPUTED_VALUE"""),"informing::refactoring")</f>
        <v>informing::refactoring</v>
      </c>
      <c r="H47" s="4" t="str">
        <f aca="false">IFERROR(__xludf.dummyfunction("""COMPUTED_VALUE"""),"asking::reason::for::(move::project::outside::nova)")</f>
        <v>asking::reason::for::(move::project::outside::nova)</v>
      </c>
    </row>
    <row r="48" customFormat="false" ht="15.75" hidden="false" customHeight="false" outlineLevel="0" collapsed="false">
      <c r="A48" s="3" t="s">
        <v>795</v>
      </c>
      <c r="B48" s="3" t="str">
        <f aca="false">IF(COUNTIF(Final_CB_ML6_V5!$B$2:$B$827,A48)&gt;=1,"YES","NO")</f>
        <v>YES</v>
      </c>
      <c r="C48" s="3" t="s">
        <v>745</v>
      </c>
      <c r="D48" s="3" t="str">
        <f aca="false">IF(COUNTIF(Final_CB_ML6_V5!$C$2:$C$827,C48)&gt;=1,"YES","NO")</f>
        <v>YES</v>
      </c>
      <c r="F48" s="4" t="str">
        <f aca="false">IFERROR(__xludf.dummyfunction("""COMPUTED_VALUE"""),"move::discussion::into::a::related::review")</f>
        <v>move::discussion::into::a::related::review</v>
      </c>
      <c r="G48" s="4" t="str">
        <f aca="false">IFERROR(__xludf.dummyfunction("""COMPUTED_VALUE"""),"informing::refactoring::required")</f>
        <v>informing::refactoring::required</v>
      </c>
      <c r="H48" s="4" t="str">
        <f aca="false">IFERROR(__xludf.dummyfunction("""COMPUTED_VALUE"""),"asking::to::review::in::related::changes::of::the::project")</f>
        <v>asking::to::review::in::related::changes::of::the::project</v>
      </c>
    </row>
    <row r="49" customFormat="false" ht="15.75" hidden="false" customHeight="false" outlineLevel="0" collapsed="false">
      <c r="A49" s="3" t="s">
        <v>796</v>
      </c>
      <c r="B49" s="3" t="str">
        <f aca="false">IF(COUNTIF(Final_CB_ML6_V5!$B$2:$B$827,A49)&gt;=1,"YES","NO")</f>
        <v>YES</v>
      </c>
      <c r="C49" s="3" t="s">
        <v>797</v>
      </c>
      <c r="D49" s="3" t="str">
        <f aca="false">IF(COUNTIF(Final_CB_ML6_V5!$C$2:$C$827,C49)&gt;=1,"YES","NO")</f>
        <v>YES</v>
      </c>
      <c r="F49" s="4" t="str">
        <f aca="false">IFERROR(__xludf.dummyfunction("""COMPUTED_VALUE"""),"offering::help::for::developing::project")</f>
        <v>offering::help::for::developing::project</v>
      </c>
      <c r="G49" s="4" t="str">
        <f aca="false">IFERROR(__xludf.dummyfunction("""COMPUTED_VALUE"""),"informing::will::do::creation::(specification::new::API)")</f>
        <v>informing::will::do::creation::(specification::new::API)</v>
      </c>
      <c r="H49" s="4" t="str">
        <f aca="false">IFERROR(__xludf.dummyfunction("""COMPUTED_VALUE"""),"BP::associated::to::the::realease::of::the::same::BP")</f>
        <v>BP::associated::to::the::realease::of::the::same::BP</v>
      </c>
    </row>
    <row r="50" customFormat="false" ht="15.75" hidden="false" customHeight="false" outlineLevel="0" collapsed="false">
      <c r="A50" s="3" t="s">
        <v>798</v>
      </c>
      <c r="B50" s="3" t="str">
        <f aca="false">IF(COUNTIF(Final_CB_ML6_V5!$B$2:$B$827,A50)&gt;=1,"YES","NO")</f>
        <v>YES</v>
      </c>
      <c r="C50" s="3" t="s">
        <v>799</v>
      </c>
      <c r="D50" s="3" t="str">
        <f aca="false">IF(COUNTIF(Final_CB_ML6_V5!$C$2:$C$827,C50)&gt;=1,"YES","NO")</f>
        <v>YES</v>
      </c>
      <c r="F50" s="4" t="str">
        <f aca="false">IFERROR(__xludf.dummyfunction("""COMPUTED_VALUE"""),"offering::help::to::shephard::reviews")</f>
        <v>offering::help::to::shephard::reviews</v>
      </c>
      <c r="G50" s="4" t="str">
        <f aca="false">IFERROR(__xludf.dummyfunction("""COMPUTED_VALUE"""),"informing::will::investigate::(potential::downsides)")</f>
        <v>informing::will::investigate::(potential::downsides)</v>
      </c>
      <c r="H50" s="4" t="str">
        <f aca="false">IFERROR(__xludf.dummyfunction("""COMPUTED_VALUE"""),"clarification::on::discussing::solution::design::(requirements::of::the::solution)")</f>
        <v>clarification::on::discussing::solution::design::(requirements::of::the::solution)</v>
      </c>
    </row>
    <row r="51" customFormat="false" ht="15.75" hidden="false" customHeight="false" outlineLevel="0" collapsed="false">
      <c r="A51" s="3" t="s">
        <v>800</v>
      </c>
      <c r="B51" s="3" t="str">
        <f aca="false">IF(COUNTIF(Final_CB_ML6_V5!$B$2:$B$827,A51)&gt;=1,"YES","NO")</f>
        <v>YES</v>
      </c>
      <c r="C51" s="3" t="s">
        <v>801</v>
      </c>
      <c r="D51" s="3" t="str">
        <f aca="false">IF(COUNTIF(Final_CB_ML6_V5!$C$2:$C$827,C51)&gt;=1,"YES","NO")</f>
        <v>YES</v>
      </c>
      <c r="F51" s="4" t="str">
        <f aca="false">IFERROR(__xludf.dummyfunction("""COMPUTED_VALUE"""),"proposal::to::discuss::topic::(related:.to::BP)::in::summit::(global::meeting)")</f>
        <v>proposal::to::discuss::topic::(related:.to::BP)::in::summit::(global::meeting)</v>
      </c>
      <c r="G51" s="4" t="str">
        <f aca="false">IFERROR(__xludf.dummyfunction("""COMPUTED_VALUE"""),"informing::will::investigate::(specific::failures)")</f>
        <v>informing::will::investigate::(specific::failures)</v>
      </c>
      <c r="H51" s="4" t="str">
        <f aca="false">IFERROR(__xludf.dummyfunction("""COMPUTED_VALUE"""),"clarifications::about::question::of::bp/feature::in::previous::mail::(to::external::developer)")</f>
        <v>clarifications::about::question::of::bp/feature::in::previous::mail::(to::external::developer)</v>
      </c>
    </row>
    <row r="52" customFormat="false" ht="15.75" hidden="false" customHeight="false" outlineLevel="0" collapsed="false">
      <c r="A52" s="3" t="s">
        <v>802</v>
      </c>
      <c r="B52" s="3" t="str">
        <f aca="false">IF(COUNTIF(Final_CB_ML6_V5!$B$2:$B$827,A52)&gt;=1,"YES","NO")</f>
        <v>YES</v>
      </c>
      <c r="C52" s="3" t="s">
        <v>749</v>
      </c>
      <c r="D52" s="3" t="str">
        <f aca="false">IF(COUNTIF(Final_CB_ML6_V5!$C$2:$C$827,C52)&gt;=1,"YES","NO")</f>
        <v>YES</v>
      </c>
      <c r="F52" s="4" t="str">
        <f aca="false">IFERROR(__xludf.dummyfunction("""COMPUTED_VALUE"""),"proposing::a::solution::to::bug::due::to::new::functionality::that::was::enabled::thanks::to::the::BP")</f>
        <v>proposing::a::solution::to::bug::due::to::new::functionality::that::was::enabled::thanks::to::the::BP</v>
      </c>
      <c r="G52" s="4" t="str">
        <f aca="false">IFERROR(__xludf.dummyfunction("""COMPUTED_VALUE"""),"infroming::review::waiting::for::approval")</f>
        <v>infroming::review::waiting::for::approval</v>
      </c>
      <c r="H52" s="4" t="str">
        <f aca="false">IFERROR(__xludf.dummyfunction("""COMPUTED_VALUE"""),"clarifications::about::question::of::bp/feature::in::previous::mail::(to::external::developer::by::external::developer)")</f>
        <v>clarifications::about::question::of::bp/feature::in::previous::mail::(to::external::developer::by::external::developer)</v>
      </c>
    </row>
    <row r="53" customFormat="false" ht="15.75" hidden="false" customHeight="false" outlineLevel="0" collapsed="false">
      <c r="A53" s="3" t="s">
        <v>803</v>
      </c>
      <c r="B53" s="3" t="str">
        <f aca="false">IF(COUNTIF(Final_CB_ML6_V5!$B$2:$B$827,A53)&gt;=1,"YES","NO")</f>
        <v>YES</v>
      </c>
      <c r="C53" s="3" t="s">
        <v>804</v>
      </c>
      <c r="D53" s="3" t="str">
        <f aca="false">IF(COUNTIF(Final_CB_ML6_V5!$C$2:$C$827,C53)&gt;=1,"YES","NO")</f>
        <v>YES</v>
      </c>
      <c r="F53" s="4" t="str">
        <f aca="false">IFERROR(__xludf.dummyfunction("""COMPUTED_VALUE"""),"providing::advice::development::process::(tags::vs::branches::vs::different::project)")</f>
        <v>providing::advice::development::process::(tags::vs::branches::vs::different::project)</v>
      </c>
      <c r="G53" s="4" t="str">
        <f aca="false">IFERROR(__xludf.dummyfunction("""COMPUTED_VALUE"""),"issue::progress::(related::issue)")</f>
        <v>issue::progress::(related::issue)</v>
      </c>
      <c r="H53" s="4" t="str">
        <f aca="false">IFERROR(__xludf.dummyfunction("""COMPUTED_VALUE"""),"clarify::the::differences::of::the::BP/feature::with::the::needs")</f>
        <v>clarify::the::differences::of::the::BP/feature::with::the::needs</v>
      </c>
    </row>
    <row r="54" customFormat="false" ht="15.75" hidden="false" customHeight="false" outlineLevel="0" collapsed="false">
      <c r="A54" s="3" t="s">
        <v>805</v>
      </c>
      <c r="B54" s="3" t="str">
        <f aca="false">IF(COUNTIF(Final_CB_ML6_V5!$B$2:$B$827,A54)&gt;=1,"YES","NO")</f>
        <v>YES</v>
      </c>
      <c r="C54" s="3" t="s">
        <v>751</v>
      </c>
      <c r="D54" s="3" t="str">
        <f aca="false">IF(COUNTIF(Final_CB_ML6_V5!$C$2:$C$827,C54)&gt;=1,"YES","NO")</f>
        <v>YES</v>
      </c>
      <c r="F54" s="4" t="str">
        <f aca="false">IFERROR(__xludf.dummyfunction("""COMPUTED_VALUE"""),"providing::advice::development::process::(topcs/tags)")</f>
        <v>providing::advice::development::process::(topcs/tags)</v>
      </c>
      <c r="G54" s="4" t="str">
        <f aca="false">IFERROR(__xludf.dummyfunction("""COMPUTED_VALUE"""),"issue::progress::(unrelated::issue)")</f>
        <v>issue::progress::(unrelated::issue)</v>
      </c>
      <c r="H54" s="4" t="str">
        <f aca="false">IFERROR(__xludf.dummyfunction("""COMPUTED_VALUE"""),"clarifying::design::based::on::functionallity::(current::code)::previous::related::developments")</f>
        <v>clarifying::design::based::on::functionallity::(current::code)::previous::related::developments</v>
      </c>
    </row>
    <row r="55" customFormat="false" ht="15.75" hidden="false" customHeight="false" outlineLevel="0" collapsed="false">
      <c r="A55" s="3" t="s">
        <v>806</v>
      </c>
      <c r="B55" s="3" t="str">
        <f aca="false">IF(COUNTIF(Final_CB_ML6_V5!$B$2:$B$827,A55)&gt;=1,"YES","NO")</f>
        <v>YES</v>
      </c>
      <c r="C55" s="3" t="s">
        <v>807</v>
      </c>
      <c r="D55" s="3" t="str">
        <f aca="false">IF(COUNTIF(Final_CB_ML6_V5!$C$2:$C$827,C55)&gt;=1,"YES","NO")</f>
        <v>YES</v>
      </c>
      <c r="F55" s="4" t="str">
        <f aca="false">IFERROR(__xludf.dummyfunction("""COMPUTED_VALUE"""),"providing::clarification::about::functionallity::(current::code)")</f>
        <v>providing::clarification::about::functionallity::(current::code)</v>
      </c>
      <c r="G55" s="4" t="str">
        <f aca="false">IFERROR(__xludf.dummyfunction("""COMPUTED_VALUE"""),"mentioned::the::introducing::review")</f>
        <v>mentioned::the::introducing::review</v>
      </c>
      <c r="H55" s="4" t="str">
        <f aca="false">IFERROR(__xludf.dummyfunction("""COMPUTED_VALUE"""),"commenting::about::the::voting::given::to::the::features/bugs::of::the::BP")</f>
        <v>commenting::about::the::voting::given::to::the::features/bugs::of::the::BP</v>
      </c>
    </row>
    <row r="56" customFormat="false" ht="15.75" hidden="false" customHeight="false" outlineLevel="0" collapsed="false">
      <c r="A56" s="3" t="s">
        <v>808</v>
      </c>
      <c r="B56" s="3" t="str">
        <f aca="false">IF(COUNTIF(Final_CB_ML6_V5!$B$2:$B$827,A56)&gt;=1,"YES","NO")</f>
        <v>YES</v>
      </c>
      <c r="C56" s="3" t="s">
        <v>809</v>
      </c>
      <c r="D56" s="3" t="str">
        <f aca="false">IF(COUNTIF(Final_CB_ML6_V5!$C$2:$C$827,C56)&gt;=1,"YES","NO")</f>
        <v>YES</v>
      </c>
      <c r="F56" s="4" t="str">
        <f aca="false">IFERROR(__xludf.dummyfunction("""COMPUTED_VALUE"""),"providing::clarification::of::backporting::other::features::of::the::same::release::of::BP::(oportunistic::approach)")</f>
        <v>providing::clarification::of::backporting::other::features::of::the::same::release::of::BP::(oportunistic::approach)</v>
      </c>
      <c r="G56" s="4" t="str">
        <f aca="false">IFERROR(__xludf.dummyfunction("""COMPUTED_VALUE"""),"mentioned::the::issue")</f>
        <v>mentioned::the::issue</v>
      </c>
      <c r="H56" s="4" t="str">
        <f aca="false">IFERROR(__xludf.dummyfunction("""COMPUTED_VALUE"""),"commiting::to::review::due::to::previous::experience::with::topic")</f>
        <v>commiting::to::review::due::to::previous::experience::with::topic</v>
      </c>
    </row>
    <row r="57" customFormat="false" ht="15.75" hidden="false" customHeight="false" outlineLevel="0" collapsed="false">
      <c r="A57" s="3" t="s">
        <v>810</v>
      </c>
      <c r="B57" s="3" t="str">
        <f aca="false">IF(COUNTIF(Final_CB_ML6_V5!$B$2:$B$827,A57)&gt;=1,"YES","NO")</f>
        <v>YES</v>
      </c>
      <c r="C57" s="3" t="s">
        <v>753</v>
      </c>
      <c r="D57" s="3" t="str">
        <f aca="false">IF(COUNTIF(Final_CB_ML6_V5!$C$2:$C$827,C57)&gt;=1,"YES","NO")</f>
        <v>YES</v>
      </c>
      <c r="F57" s="4" t="str">
        <f aca="false">IFERROR(__xludf.dummyfunction("""COMPUTED_VALUE"""),"providing::clarifications::about::development::process::(tests::process)")</f>
        <v>providing::clarifications::about::development::process::(tests::process)</v>
      </c>
      <c r="G57" s="4" t="str">
        <f aca="false">IFERROR(__xludf.dummyfunction("""COMPUTED_VALUE"""),"mentioning::related::issue")</f>
        <v>mentioning::related::issue</v>
      </c>
      <c r="H57" s="4" t="str">
        <f aca="false">IFERROR(__xludf.dummyfunction("""COMPUTED_VALUE"""),"communicate::need::resources::(developers)")</f>
        <v>communicate::need::resources::(developers)</v>
      </c>
    </row>
    <row r="58" customFormat="false" ht="15.75" hidden="false" customHeight="false" outlineLevel="0" collapsed="false">
      <c r="A58" s="3" t="s">
        <v>811</v>
      </c>
      <c r="B58" s="3" t="str">
        <f aca="false">IF(COUNTIF(Final_CB_ML6_V5!$B$2:$B$827,A58)&gt;=1,"YES","NO")</f>
        <v>YES</v>
      </c>
      <c r="C58" s="3" t="s">
        <v>812</v>
      </c>
      <c r="D58" s="3" t="str">
        <f aca="false">IF(COUNTIF(Final_CB_ML6_V5!$C$2:$C$827,C58)&gt;=1,"YES","NO")</f>
        <v>YES</v>
      </c>
      <c r="F58" s="4" t="str">
        <f aca="false">IFERROR(__xludf.dummyfunction("""COMPUTED_VALUE"""),"providing::clarifications::about::plan::development::process")</f>
        <v>providing::clarifications::about::plan::development::process</v>
      </c>
      <c r="G58" s="4" t="str">
        <f aca="false">IFERROR(__xludf.dummyfunction("""COMPUTED_VALUE"""),"message::containing::code")</f>
        <v>message::containing::code</v>
      </c>
      <c r="H58" s="4" t="str">
        <f aca="false">IFERROR(__xludf.dummyfunction("""COMPUTED_VALUE"""),"communicate::reallocate::resources::(developers)::move::project::ouside::nova")</f>
        <v>communicate::reallocate::resources::(developers)::move::project::ouside::nova</v>
      </c>
    </row>
    <row r="59" customFormat="false" ht="15.75" hidden="false" customHeight="false" outlineLevel="0" collapsed="false">
      <c r="A59" s="3" t="s">
        <v>813</v>
      </c>
      <c r="B59" s="3" t="str">
        <f aca="false">IF(COUNTIF(Final_CB_ML6_V5!$B$2:$B$827,A59)&gt;=1,"YES","NO")</f>
        <v>YES</v>
      </c>
      <c r="C59" s="3" t="s">
        <v>758</v>
      </c>
      <c r="D59" s="3" t="str">
        <f aca="false">IF(COUNTIF(Final_CB_ML6_V5!$C$2:$C$827,C59)&gt;=1,"YES","NO")</f>
        <v>YES</v>
      </c>
      <c r="F59" s="4" t="str">
        <f aca="false">IFERROR(__xludf.dummyfunction("""COMPUTED_VALUE"""),"proving::aswer::about::dependencies::of::BP::with::NOVA")</f>
        <v>proving::aswer::about::dependencies::of::BP::with::NOVA</v>
      </c>
      <c r="G59" s="4" t="str">
        <f aca="false">IFERROR(__xludf.dummyfunction("""COMPUTED_VALUE"""),"message::containing::debug::log")</f>
        <v>message::containing::debug::log</v>
      </c>
      <c r="H59" s="4" t="str">
        <f aca="false">IFERROR(__xludf.dummyfunction("""COMPUTED_VALUE"""),"communicate::user::status::of::project")</f>
        <v>communicate::user::status::of::project</v>
      </c>
    </row>
    <row r="60" customFormat="false" ht="15.75" hidden="false" customHeight="false" outlineLevel="0" collapsed="false">
      <c r="A60" s="3" t="s">
        <v>814</v>
      </c>
      <c r="B60" s="3" t="str">
        <f aca="false">IF(COUNTIF(Final_CB_ML6_V5!$B$2:$B$827,A60)&gt;=1,"YES","NO")</f>
        <v>YES</v>
      </c>
      <c r="C60" s="3" t="s">
        <v>815</v>
      </c>
      <c r="D60" s="3" t="str">
        <f aca="false">IF(COUNTIF(Final_CB_ML6_V5!$C$2:$C$827,C60)&gt;=1,"YES","NO")</f>
        <v>YES</v>
      </c>
      <c r="F60" s="4" t="str">
        <f aca="false">IFERROR(__xludf.dummyfunction("""COMPUTED_VALUE"""),"question::about::dependencies::of::BP::with::NOVA")</f>
        <v>question::about::dependencies::of::BP::with::NOVA</v>
      </c>
      <c r="G60" s="4" t="str">
        <f aca="false">IFERROR(__xludf.dummyfunction("""COMPUTED_VALUE"""),"minor::changes")</f>
        <v>minor::changes</v>
      </c>
      <c r="H60" s="4" t="str">
        <f aca="false">IFERROR(__xludf.dummyfunction("""COMPUTED_VALUE"""),"conditions::to::develop::in::the::new::project::(involve::BP::being::completed)")</f>
        <v>conditions::to::develop::in::the::new::project::(involve::BP::being::completed)</v>
      </c>
    </row>
    <row r="61" customFormat="false" ht="15.75" hidden="false" customHeight="false" outlineLevel="0" collapsed="false">
      <c r="A61" s="3" t="s">
        <v>816</v>
      </c>
      <c r="B61" s="3" t="str">
        <f aca="false">IF(COUNTIF(Final_CB_ML6_V5!$B$2:$B$827,A61)&gt;=1,"YES","NO")</f>
        <v>YES</v>
      </c>
      <c r="C61" s="3" t="s">
        <v>817</v>
      </c>
      <c r="D61" s="3" t="str">
        <f aca="false">IF(COUNTIF(Final_CB_ML6_V5!$C$2:$C$827,C61)&gt;=1,"YES","NO")</f>
        <v>YES</v>
      </c>
      <c r="F61" s="4" t="str">
        <f aca="false">IFERROR(__xludf.dummyfunction("""COMPUTED_VALUE"""),"question::about::details::in::implementation")</f>
        <v>question::about::details::in::implementation</v>
      </c>
      <c r="G61" s="4" t="str">
        <f aca="false">IFERROR(__xludf.dummyfunction("""COMPUTED_VALUE"""),"patches::that::require::FFE")</f>
        <v>patches::that::require::FFE</v>
      </c>
      <c r="H61" s="4" t="str">
        <f aca="false">IFERROR(__xludf.dummyfunction("""COMPUTED_VALUE"""),"confirmation::of::right::place::to::ask::about::feature/bp")</f>
        <v>confirmation::of::right::place::to::ask::about::feature/bp</v>
      </c>
    </row>
    <row r="62" customFormat="false" ht="15.75" hidden="false" customHeight="false" outlineLevel="0" collapsed="false">
      <c r="A62" s="3" t="s">
        <v>818</v>
      </c>
      <c r="B62" s="3" t="str">
        <f aca="false">IF(COUNTIF(Final_CB_ML6_V5!$B$2:$B$827,A62)&gt;=1,"YES","NO")</f>
        <v>YES</v>
      </c>
      <c r="C62" s="3" t="s">
        <v>819</v>
      </c>
      <c r="D62" s="3" t="str">
        <f aca="false">IF(COUNTIF(Final_CB_ML6_V5!$C$2:$C$827,C62)&gt;=1,"YES","NO")</f>
        <v>YES</v>
      </c>
      <c r="F62" s="4" t="str">
        <f aca="false">IFERROR(__xludf.dummyfunction("""COMPUTED_VALUE"""),"reason::of::bug")</f>
        <v>reason::of::bug</v>
      </c>
      <c r="G62" s="4" t="str">
        <f aca="false">IFERROR(__xludf.dummyfunction("""COMPUTED_VALUE"""),"proposing::ask::for::user::feedback::(regarding::usage::of::feature)")</f>
        <v>proposing::ask::for::user::feedback::(regarding::usage::of::feature)</v>
      </c>
      <c r="H62" s="4" t="str">
        <f aca="false">IFERROR(__xludf.dummyfunction("""COMPUTED_VALUE"""),"confirming::discussion::of::the::topic::(related:.to::BP)::in::summit::(global::meeting)")</f>
        <v>confirming::discussion::of::the::topic::(related:.to::BP)::in::summit::(global::meeting)</v>
      </c>
    </row>
    <row r="63" customFormat="false" ht="15.75" hidden="false" customHeight="false" outlineLevel="0" collapsed="false">
      <c r="A63" s="3" t="s">
        <v>820</v>
      </c>
      <c r="B63" s="3" t="str">
        <f aca="false">IF(COUNTIF(Final_CB_ML6_V5!$B$2:$B$827,A63)&gt;=1,"YES","NO")</f>
        <v>YES</v>
      </c>
      <c r="C63" s="3" t="s">
        <v>821</v>
      </c>
      <c r="D63" s="3" t="str">
        <f aca="false">IF(COUNTIF(Final_CB_ML6_V5!$C$2:$C$827,C63)&gt;=1,"YES","NO")</f>
        <v>YES</v>
      </c>
      <c r="F63" s="4" t="str">
        <f aca="false">IFERROR(__xludf.dummyfunction("""COMPUTED_VALUE"""),"reasons::why::not::accept::the::FFE::(number:.of::lines:.changed)")</f>
        <v>reasons::why::not::accept::the::FFE::(number:.of::lines:.changed)</v>
      </c>
      <c r="G63" s="4" t="str">
        <f aca="false">IFERROR(__xludf.dummyfunction("""COMPUTED_VALUE"""),"proposing::temporary::fix")</f>
        <v>proposing::temporary::fix</v>
      </c>
      <c r="H63" s="4" t="str">
        <f aca="false">IFERROR(__xludf.dummyfunction("""COMPUTED_VALUE"""),"conflicts::meeting::group::to::discuss::BP/feature")</f>
        <v>conflicts::meeting::group::to::discuss::BP/feature</v>
      </c>
    </row>
    <row r="64" customFormat="false" ht="15.75" hidden="false" customHeight="false" outlineLevel="0" collapsed="false">
      <c r="A64" s="3" t="s">
        <v>822</v>
      </c>
      <c r="B64" s="3" t="str">
        <f aca="false">IF(COUNTIF(Final_CB_ML6_V5!$B$2:$B$827,A64)&gt;=1,"YES","NO")</f>
        <v>YES</v>
      </c>
      <c r="C64" s="3" t="s">
        <v>823</v>
      </c>
      <c r="D64" s="3" t="str">
        <f aca="false">IF(COUNTIF(Final_CB_ML6_V5!$C$2:$C$827,C64)&gt;=1,"YES","NO")</f>
        <v>YES</v>
      </c>
      <c r="F64" s="4" t="str">
        <f aca="false">IFERROR(__xludf.dummyfunction("""COMPUTED_VALUE"""),"reasons::why::the::FEE::should::be::given")</f>
        <v>reasons::why::the::FEE::should::be::given</v>
      </c>
      <c r="G64" s="4" t="str">
        <f aca="false">IFERROR(__xludf.dummyfunction("""COMPUTED_VALUE"""),"providing::advice::(solution::design)")</f>
        <v>providing::advice::(solution::design)</v>
      </c>
      <c r="H64" s="4" t="str">
        <f aca="false">IFERROR(__xludf.dummyfunction("""COMPUTED_VALUE"""),"cons::and::pros::design::choice::(hybrid::compute::nodes)")</f>
        <v>cons::and::pros::design::choice::(hybrid::compute::nodes)</v>
      </c>
    </row>
    <row r="65" customFormat="false" ht="15.75" hidden="false" customHeight="false" outlineLevel="0" collapsed="false">
      <c r="A65" s="3" t="s">
        <v>824</v>
      </c>
      <c r="B65" s="3" t="str">
        <f aca="false">IF(COUNTIF(Final_CB_ML6_V5!$B$2:$B$827,A65)&gt;=1,"YES","NO")</f>
        <v>YES</v>
      </c>
      <c r="C65" s="3" t="s">
        <v>825</v>
      </c>
      <c r="D65" s="3" t="str">
        <f aca="false">IF(COUNTIF(Final_CB_ML6_V5!$C$2:$C$827,C65)&gt;=1,"YES","NO")</f>
        <v>YES</v>
      </c>
      <c r="F65" s="4" t="str">
        <f aca="false">IFERROR(__xludf.dummyfunction("""COMPUTED_VALUE"""),"reference::another::email::thread")</f>
        <v>reference::another::email::thread</v>
      </c>
      <c r="G65" s="4" t="str">
        <f aca="false">IFERROR(__xludf.dummyfunction("""COMPUTED_VALUE"""),"providing::clarification::about::intended::solution::design")</f>
        <v>providing::clarification::about::intended::solution::design</v>
      </c>
      <c r="H65" s="4" t="str">
        <f aca="false">IFERROR(__xludf.dummyfunction("""COMPUTED_VALUE"""),"cons::and::pros::design::choice::(idea::brought::by::someone::else)")</f>
        <v>cons::and::pros::design::choice::(idea::brought::by::someone::else)</v>
      </c>
    </row>
    <row r="66" customFormat="false" ht="15.75" hidden="false" customHeight="false" outlineLevel="0" collapsed="false">
      <c r="A66" s="3" t="s">
        <v>826</v>
      </c>
      <c r="B66" s="3" t="str">
        <f aca="false">IF(COUNTIF(Final_CB_ML6_V5!$B$2:$B$827,A66)&gt;=1,"YES","NO")</f>
        <v>YES</v>
      </c>
      <c r="C66" s="3" t="s">
        <v>827</v>
      </c>
      <c r="D66" s="3" t="str">
        <f aca="false">IF(COUNTIF(Final_CB_ML6_V5!$C$2:$C$827,C66)&gt;=1,"YES","NO")</f>
        <v>YES</v>
      </c>
      <c r="F66" s="4" t="str">
        <f aca="false">IFERROR(__xludf.dummyfunction("""COMPUTED_VALUE"""),"reference::BP")</f>
        <v>reference::BP</v>
      </c>
      <c r="G66" s="4" t="str">
        <f aca="false">IFERROR(__xludf.dummyfunction("""COMPUTED_VALUE"""),"providing::clarification::about::intended::test::setup")</f>
        <v>providing::clarification::about::intended::test::setup</v>
      </c>
      <c r="H66" s="4" t="str">
        <f aca="false">IFERROR(__xludf.dummyfunction("""COMPUTED_VALUE"""),"cons::and::pros::design::choice::(requirements)")</f>
        <v>cons::and::pros::design::choice::(requirements)</v>
      </c>
    </row>
    <row r="67" customFormat="false" ht="15.75" hidden="false" customHeight="false" outlineLevel="0" collapsed="false">
      <c r="A67" s="3" t="s">
        <v>828</v>
      </c>
      <c r="B67" s="3" t="str">
        <f aca="false">IF(COUNTIF(Final_CB_ML6_V5!$B$2:$B$827,A67)&gt;=1,"YES","NO")</f>
        <v>YES</v>
      </c>
      <c r="C67" s="3" t="s">
        <v>764</v>
      </c>
      <c r="D67" s="3" t="str">
        <f aca="false">IF(COUNTIF(Final_CB_ML6_V5!$C$2:$C$827,C67)&gt;=1,"YES","NO")</f>
        <v>YES</v>
      </c>
      <c r="F67" s="4" t="str">
        <f aca="false">IFERROR(__xludf.dummyfunction("""COMPUTED_VALUE"""),"reference::meeting")</f>
        <v>reference::meeting</v>
      </c>
      <c r="G67" s="4" t="str">
        <f aca="false">IFERROR(__xludf.dummyfunction("""COMPUTED_VALUE"""),"providing::clarification::about::responsibilities")</f>
        <v>providing::clarification::about::responsibilities</v>
      </c>
      <c r="H67" s="4" t="str">
        <f aca="false">IFERROR(__xludf.dummyfunction("""COMPUTED_VALUE"""),"cons::and::pros::design::choice::to::keep::project::inside::nova")</f>
        <v>cons::and::pros::design::choice::to::keep::project::inside::nova</v>
      </c>
    </row>
    <row r="68" customFormat="false" ht="15.75" hidden="false" customHeight="false" outlineLevel="0" collapsed="false">
      <c r="A68" s="3" t="s">
        <v>829</v>
      </c>
      <c r="B68" s="3" t="str">
        <f aca="false">IF(COUNTIF(Final_CB_ML6_V5!$B$2:$B$827,A68)&gt;=1,"YES","NO")</f>
        <v>YES</v>
      </c>
      <c r="C68" s="3" t="s">
        <v>830</v>
      </c>
      <c r="D68" s="3" t="str">
        <f aca="false">IF(COUNTIF(Final_CB_ML6_V5!$C$2:$C$827,C68)&gt;=1,"YES","NO")</f>
        <v>YES</v>
      </c>
      <c r="F68" s="4" t="str">
        <f aca="false">IFERROR(__xludf.dummyfunction("""COMPUTED_VALUE"""),"reference::tag")</f>
        <v>reference::tag</v>
      </c>
      <c r="G68" s="4" t="str">
        <f aca="false">IFERROR(__xludf.dummyfunction("""COMPUTED_VALUE"""),"providing::clarification::about::solution::design")</f>
        <v>providing::clarification::about::solution::design</v>
      </c>
      <c r="H68" s="4" t="str">
        <f aca="false">IFERROR(__xludf.dummyfunction("""COMPUTED_VALUE"""),"demo::for::suggestions:.of::improvements::of::the::software::based:.on::new::opportunities:.based::on::changes::needed:.for:.the::bug")</f>
        <v>demo::for::suggestions:.of::improvements::of::the::software::based:.on::new::opportunities:.based::on::changes::needed:.for:.the::bug</v>
      </c>
    </row>
    <row r="69" customFormat="false" ht="15.75" hidden="false" customHeight="false" outlineLevel="0" collapsed="false">
      <c r="A69" s="3" t="s">
        <v>831</v>
      </c>
      <c r="B69" s="3" t="str">
        <f aca="false">IF(COUNTIF(Final_CB_ML6_V5!$B$2:$B$827,A69)&gt;=1,"YES","NO")</f>
        <v>YES</v>
      </c>
      <c r="C69" s="3" t="s">
        <v>832</v>
      </c>
      <c r="D69" s="3" t="str">
        <f aca="false">IF(COUNTIF(Final_CB_ML6_V5!$C$2:$C$827,C69)&gt;=1,"YES","NO")</f>
        <v>YES</v>
      </c>
      <c r="F69" s="4" t="str">
        <f aca="false">IFERROR(__xludf.dummyfunction("""COMPUTED_VALUE"""),"reference::wiki::(meetings)")</f>
        <v>reference::wiki::(meetings)</v>
      </c>
      <c r="G69" s="4" t="str">
        <f aca="false">IFERROR(__xludf.dummyfunction("""COMPUTED_VALUE"""),"providing::clarification::current::design")</f>
        <v>providing::clarification::current::design</v>
      </c>
      <c r="H69" s="4" t="str">
        <f aca="false">IFERROR(__xludf.dummyfunction("""COMPUTED_VALUE"""),"describing::the::need::of::real::exposure::before::releasing::change")</f>
        <v>describing::the::need::of::real::exposure::before::releasing::change</v>
      </c>
    </row>
    <row r="70" customFormat="false" ht="15.75" hidden="false" customHeight="false" outlineLevel="0" collapsed="false">
      <c r="A70" s="3" t="s">
        <v>833</v>
      </c>
      <c r="B70" s="3" t="str">
        <f aca="false">IF(COUNTIF(Final_CB_ML6_V5!$B$2:$B$827,A70)&gt;=1,"YES","NO")</f>
        <v>YES</v>
      </c>
      <c r="C70" s="3" t="s">
        <v>766</v>
      </c>
      <c r="D70" s="3" t="str">
        <f aca="false">IF(COUNTIF(Final_CB_ML6_V5!$C$2:$C$827,C70)&gt;=1,"YES","NO")</f>
        <v>YES</v>
      </c>
      <c r="F70" s="4" t="str">
        <f aca="false">IFERROR(__xludf.dummyfunction("""COMPUTED_VALUE"""),"reference::wiki::(meetings::agenda)")</f>
        <v>reference::wiki::(meetings::agenda)</v>
      </c>
      <c r="G70" s="4" t="str">
        <f aca="false">IFERROR(__xludf.dummyfunction("""COMPUTED_VALUE"""),"providing::example::(use::case)")</f>
        <v>providing::example::(use::case)</v>
      </c>
      <c r="H70" s="4" t="str">
        <f aca="false">IFERROR(__xludf.dummyfunction("""COMPUTED_VALUE"""),"description::of::patch::(solution)::of::a::bug")</f>
        <v>description::of::patch::(solution)::of::a::bug</v>
      </c>
    </row>
    <row r="71" customFormat="false" ht="15.75" hidden="false" customHeight="false" outlineLevel="0" collapsed="false">
      <c r="A71" s="3" t="s">
        <v>834</v>
      </c>
      <c r="B71" s="3" t="str">
        <f aca="false">IF(COUNTIF(Final_CB_ML6_V5!$B$2:$B$827,A71)&gt;=1,"YES","NO")</f>
        <v>YES</v>
      </c>
      <c r="C71" s="3" t="s">
        <v>835</v>
      </c>
      <c r="D71" s="3" t="str">
        <f aca="false">IF(COUNTIF(Final_CB_ML6_V5!$C$2:$C$827,C71)&gt;=1,"YES","NO")</f>
        <v>YES</v>
      </c>
      <c r="F71" s="4" t="str">
        <f aca="false">IFERROR(__xludf.dummyfunction("""COMPUTED_VALUE"""),"reminder::to::review::high-priority::reviews::(including::BP)")</f>
        <v>reminder::to::review::high-priority::reviews::(including::BP)</v>
      </c>
      <c r="G71" s="4" t="str">
        <f aca="false">IFERROR(__xludf.dummyfunction("""COMPUTED_VALUE"""),"reasons::for::deprecation")</f>
        <v>reasons::for::deprecation</v>
      </c>
      <c r="H71" s="4" t="str">
        <f aca="false">IFERROR(__xludf.dummyfunction("""COMPUTED_VALUE"""),"description::of::the::sender::development::responsabilities::(bug/BP/feature::related)")</f>
        <v>description::of::the::sender::development::responsabilities::(bug/BP/feature::related)</v>
      </c>
    </row>
    <row r="72" customFormat="false" ht="15.75" hidden="false" customHeight="false" outlineLevel="0" collapsed="false">
      <c r="A72" s="3" t="s">
        <v>836</v>
      </c>
      <c r="B72" s="3" t="str">
        <f aca="false">IF(COUNTIF(Final_CB_ML6_V5!$B$2:$B$827,A72)&gt;=1,"YES","NO")</f>
        <v>YES</v>
      </c>
      <c r="C72" s="3" t="s">
        <v>837</v>
      </c>
      <c r="D72" s="3" t="str">
        <f aca="false">IF(COUNTIF(Final_CB_ML6_V5!$C$2:$C$827,C72)&gt;=1,"YES","NO")</f>
        <v>YES</v>
      </c>
      <c r="F72" s="4" t="str">
        <f aca="false">IFERROR(__xludf.dummyfunction("""COMPUTED_VALUE"""),"steps::needed::before::executing::the::level::up::of::feature")</f>
        <v>steps::needed::before::executing::the::level::up::of::feature</v>
      </c>
      <c r="G72" s="4" t="str">
        <f aca="false">IFERROR(__xludf.dummyfunction("""COMPUTED_VALUE"""),"reference::review")</f>
        <v>reference::review</v>
      </c>
      <c r="H72" s="4" t="str">
        <f aca="false">IFERROR(__xludf.dummyfunction("""COMPUTED_VALUE"""),"description::of::the::sender::development::responsabilities::(not::bug/BP/feature::related)")</f>
        <v>description::of::the::sender::development::responsabilities::(not::bug/BP/feature::related)</v>
      </c>
    </row>
    <row r="73" customFormat="false" ht="15.75" hidden="false" customHeight="false" outlineLevel="0" collapsed="false">
      <c r="A73" s="3" t="s">
        <v>838</v>
      </c>
      <c r="B73" s="3" t="str">
        <f aca="false">IF(COUNTIF(Final_CB_ML6_V5!$B$2:$B$827,A73)&gt;=1,"YES","NO")</f>
        <v>YES</v>
      </c>
      <c r="C73" s="3" t="s">
        <v>839</v>
      </c>
      <c r="D73" s="3" t="str">
        <f aca="false">IF(COUNTIF(Final_CB_ML6_V5!$C$2:$C$827,C73)&gt;=1,"YES","NO")</f>
        <v>YES</v>
      </c>
      <c r="F73" s="4" t="str">
        <f aca="false">IFERROR(__xludf.dummyfunction("""COMPUTED_VALUE"""),"suggesting::discussing::topic::in::meeting")</f>
        <v>suggesting::discussing::topic::in::meeting</v>
      </c>
      <c r="G73" s="4" t="str">
        <f aca="false">IFERROR(__xludf.dummyfunction("""COMPUTED_VALUE"""),"reference::wiki")</f>
        <v>reference::wiki</v>
      </c>
      <c r="H73" s="4" t="str">
        <f aca="false">IFERROR(__xludf.dummyfunction("""COMPUTED_VALUE"""),"description::of::the::sender::development::responsabilities::not::taken::(bug/BP/feature::related)")</f>
        <v>description::of::the::sender::development::responsabilities::not::taken::(bug/BP/feature::related)</v>
      </c>
    </row>
    <row r="74" customFormat="false" ht="15.75" hidden="false" customHeight="false" outlineLevel="0" collapsed="false">
      <c r="A74" s="3" t="s">
        <v>840</v>
      </c>
      <c r="B74" s="3" t="str">
        <f aca="false">IF(COUNTIF(Final_CB_ML6_V5!$B$2:$B$827,A74)&gt;=1,"YES","NO")</f>
        <v>YES</v>
      </c>
      <c r="C74" s="3" t="s">
        <v>841</v>
      </c>
      <c r="D74" s="3" t="str">
        <f aca="false">IF(COUNTIF(Final_CB_ML6_V5!$C$2:$C$827,C74)&gt;=1,"YES","NO")</f>
        <v>YES</v>
      </c>
      <c r="G74" s="4" t="str">
        <f aca="false">IFERROR(__xludf.dummyfunction("""COMPUTED_VALUE"""),"requesting::information::(development::progress)")</f>
        <v>requesting::information::(development::progress)</v>
      </c>
      <c r="H74" s="4" t="str">
        <f aca="false">IFERROR(__xludf.dummyfunction("""COMPUTED_VALUE"""),"details::on::how::a::similar::problem::has::been::approached::by::different::developers::(external)")</f>
        <v>details::on::how::a::similar::problem::has::been::approached::by::different::developers::(external)</v>
      </c>
    </row>
    <row r="75" customFormat="false" ht="15.75" hidden="false" customHeight="false" outlineLevel="0" collapsed="false">
      <c r="A75" s="3" t="s">
        <v>842</v>
      </c>
      <c r="B75" s="3" t="str">
        <f aca="false">IF(COUNTIF(Final_CB_ML6_V5!$B$2:$B$827,A75)&gt;=1,"YES","NO")</f>
        <v>YES</v>
      </c>
      <c r="C75" s="3" t="s">
        <v>843</v>
      </c>
      <c r="D75" s="3" t="str">
        <f aca="false">IF(COUNTIF(Final_CB_ML6_V5!$C$2:$C$827,C75)&gt;=1,"YES","NO")</f>
        <v>YES</v>
      </c>
      <c r="G75" s="4" t="str">
        <f aca="false">IFERROR(__xludf.dummyfunction("""COMPUTED_VALUE"""),"requesting::investigation::(specific::failures)")</f>
        <v>requesting::investigation::(specific::failures)</v>
      </c>
      <c r="H75" s="4" t="str">
        <f aca="false">IFERROR(__xludf.dummyfunction("""COMPUTED_VALUE"""),"details::on::how::the::functionality::can::also::encompass::a::broader::target::(external::developer)")</f>
        <v>details::on::how::the::functionality::can::also::encompass::a::broader::target::(external::developer)</v>
      </c>
    </row>
    <row r="76" customFormat="false" ht="15.75" hidden="false" customHeight="false" outlineLevel="0" collapsed="false">
      <c r="A76" s="3" t="s">
        <v>844</v>
      </c>
      <c r="B76" s="3" t="str">
        <f aca="false">IF(COUNTIF(Final_CB_ML6_V5!$B$2:$B$827,A76)&gt;=1,"YES","NO")</f>
        <v>YES</v>
      </c>
      <c r="C76" s="3" t="s">
        <v>845</v>
      </c>
      <c r="D76" s="3" t="str">
        <f aca="false">IF(COUNTIF(Final_CB_ML6_V5!$C$2:$C$827,C76)&gt;=1,"YES","NO")</f>
        <v>YES</v>
      </c>
      <c r="G76" s="4" t="str">
        <f aca="false">IFERROR(__xludf.dummyfunction("""COMPUTED_VALUE"""),"requesting::review")</f>
        <v>requesting::review</v>
      </c>
      <c r="H76" s="4" t="str">
        <f aca="false">IFERROR(__xludf.dummyfunction("""COMPUTED_VALUE"""),"deviations:.from::groupal::summit::(global::meeting)")</f>
        <v>deviations:.from::groupal::summit::(global::meeting)</v>
      </c>
    </row>
    <row r="77" customFormat="false" ht="15.75" hidden="false" customHeight="false" outlineLevel="0" collapsed="false">
      <c r="A77" s="3" t="s">
        <v>846</v>
      </c>
      <c r="B77" s="3" t="str">
        <f aca="false">IF(COUNTIF(Final_CB_ML6_V5!$B$2:$B$827,A77)&gt;=1,"YES","NO")</f>
        <v>YES</v>
      </c>
      <c r="C77" s="3" t="s">
        <v>847</v>
      </c>
      <c r="D77" s="3" t="str">
        <f aca="false">IF(COUNTIF(Final_CB_ML6_V5!$C$2:$C$827,C77)&gt;=1,"YES","NO")</f>
        <v>YES</v>
      </c>
      <c r="G77" s="4" t="str">
        <f aca="false">IFERROR(__xludf.dummyfunction("""COMPUTED_VALUE"""),"requesting::temporary::fix")</f>
        <v>requesting::temporary::fix</v>
      </c>
      <c r="H77" s="4" t="str">
        <f aca="false">IFERROR(__xludf.dummyfunction("""COMPUTED_VALUE"""),"discard::the::idea::of::ussing::the::BP/feature::to::solve::a::need")</f>
        <v>discard::the::idea::of::ussing::the::BP/feature::to::solve::a::need</v>
      </c>
    </row>
    <row r="78" customFormat="false" ht="15.75" hidden="false" customHeight="false" outlineLevel="0" collapsed="false">
      <c r="A78" s="3" t="s">
        <v>848</v>
      </c>
      <c r="B78" s="3" t="str">
        <f aca="false">IF(COUNTIF(Final_CB_ML6_V5!$B$2:$B$827,A78)&gt;=1,"YES","NO")</f>
        <v>YES</v>
      </c>
      <c r="C78" s="3" t="s">
        <v>769</v>
      </c>
      <c r="D78" s="3" t="str">
        <f aca="false">IF(COUNTIF(Final_CB_ML6_V5!$C$2:$C$827,C78)&gt;=1,"YES","NO")</f>
        <v>YES</v>
      </c>
      <c r="G78" s="4" t="str">
        <f aca="false">IFERROR(__xludf.dummyfunction("""COMPUTED_VALUE"""),"sharing::ideas::for::implementation")</f>
        <v>sharing::ideas::for::implementation</v>
      </c>
      <c r="H78" s="4" t="str">
        <f aca="false">IFERROR(__xludf.dummyfunction("""COMPUTED_VALUE"""),"discuss::another::BP::design::decisions")</f>
        <v>discuss::another::BP::design::decisions</v>
      </c>
    </row>
    <row r="79" customFormat="false" ht="15.75" hidden="false" customHeight="false" outlineLevel="0" collapsed="false">
      <c r="A79" s="3" t="s">
        <v>849</v>
      </c>
      <c r="B79" s="3" t="str">
        <f aca="false">IF(COUNTIF(Final_CB_ML6_V5!$B$2:$B$827,A79)&gt;=1,"YES","NO")</f>
        <v>YES</v>
      </c>
      <c r="C79" s="3" t="s">
        <v>770</v>
      </c>
      <c r="D79" s="3" t="str">
        <f aca="false">IF(COUNTIF(Final_CB_ML6_V5!$C$2:$C$827,C79)&gt;=1,"YES","NO")</f>
        <v>YES</v>
      </c>
      <c r="G79" s="4" t="str">
        <f aca="false">IFERROR(__xludf.dummyfunction("""COMPUTED_VALUE"""),"test::performance::improvement")</f>
        <v>test::performance::improvement</v>
      </c>
      <c r="H79" s="4" t="str">
        <f aca="false">IFERROR(__xludf.dummyfunction("""COMPUTED_VALUE"""),"discussing::about::development::process::(location::testing)")</f>
        <v>discussing::about::development::process::(location::testing)</v>
      </c>
    </row>
    <row r="80" customFormat="false" ht="15.75" hidden="false" customHeight="false" outlineLevel="0" collapsed="false">
      <c r="A80" s="3" t="s">
        <v>850</v>
      </c>
      <c r="B80" s="3" t="str">
        <f aca="false">IF(COUNTIF(Final_CB_ML6_V5!$B$2:$B$827,A80)&gt;=1,"YES","NO")</f>
        <v>YES</v>
      </c>
      <c r="C80" s="3" t="s">
        <v>851</v>
      </c>
      <c r="D80" s="3" t="str">
        <f aca="false">IF(COUNTIF(Final_CB_ML6_V5!$C$2:$C$827,C80)&gt;=1,"YES","NO")</f>
        <v>YES</v>
      </c>
      <c r="G80" s="4" t="str">
        <f aca="false">IFERROR(__xludf.dummyfunction("""COMPUTED_VALUE"""),"thanking::for::effort")</f>
        <v>thanking::for::effort</v>
      </c>
      <c r="H80" s="4" t="str">
        <f aca="false">IFERROR(__xludf.dummyfunction("""COMPUTED_VALUE"""),"discussing::about::development::process::(testing)")</f>
        <v>discussing::about::development::process::(testing)</v>
      </c>
    </row>
    <row r="81" customFormat="false" ht="15.75" hidden="false" customHeight="false" outlineLevel="0" collapsed="false">
      <c r="A81" s="3" t="s">
        <v>852</v>
      </c>
      <c r="B81" s="3" t="str">
        <f aca="false">IF(COUNTIF(Final_CB_ML6_V5!$B$2:$B$827,A81)&gt;=1,"YES","NO")</f>
        <v>YES</v>
      </c>
      <c r="C81" s="3" t="s">
        <v>853</v>
      </c>
      <c r="D81" s="3" t="str">
        <f aca="false">IF(COUNTIF(Final_CB_ML6_V5!$C$2:$C$827,C81)&gt;=1,"YES","NO")</f>
        <v>YES</v>
      </c>
      <c r="G81" s="4" t="str">
        <f aca="false">IFERROR(__xludf.dummyfunction("""COMPUTED_VALUE"""),"updating::documentation::for::feature::(feautre::not::up::to::date)")</f>
        <v>updating::documentation::for::feature::(feautre::not::up::to::date)</v>
      </c>
      <c r="H81" s="4" t="str">
        <f aca="false">IFERROR(__xludf.dummyfunction("""COMPUTED_VALUE"""),"discussing::about::functionallity::(how::to::enable::in::the::future)::design::(alternative::solution)")</f>
        <v>discussing::about::functionallity::(how::to::enable::in::the::future)::design::(alternative::solution)</v>
      </c>
    </row>
    <row r="82" customFormat="false" ht="15.75" hidden="false" customHeight="false" outlineLevel="0" collapsed="false">
      <c r="A82" s="3" t="s">
        <v>854</v>
      </c>
      <c r="B82" s="3" t="str">
        <f aca="false">IF(COUNTIF(Final_CB_ML6_V5!$B$2:$B$827,A82)&gt;=1,"YES","NO")</f>
        <v>YES</v>
      </c>
      <c r="C82" s="3" t="s">
        <v>855</v>
      </c>
      <c r="D82" s="3" t="str">
        <f aca="false">IF(COUNTIF(Final_CB_ML6_V5!$C$2:$C$827,C82)&gt;=1,"YES","NO")</f>
        <v>YES</v>
      </c>
      <c r="G82" s="4" t="str">
        <f aca="false">IFERROR(__xludf.dummyfunction("""COMPUTED_VALUE"""),"asking::clarification::about::intended::development::process")</f>
        <v>asking::clarification::about::intended::development::process</v>
      </c>
      <c r="H82" s="4" t="str">
        <f aca="false">IFERROR(__xludf.dummyfunction("""COMPUTED_VALUE"""),"discussing::about::functionallity::(how::to::enable::in::the::future)::design::(alternative::solution)::cons")</f>
        <v>discussing::about::functionallity::(how::to::enable::in::the::future)::design::(alternative::solution)::cons</v>
      </c>
    </row>
    <row r="83" customFormat="false" ht="15.75" hidden="false" customHeight="false" outlineLevel="0" collapsed="false">
      <c r="A83" s="3" t="s">
        <v>856</v>
      </c>
      <c r="B83" s="3" t="str">
        <f aca="false">IF(COUNTIF(Final_CB_ML6_V5!$B$2:$B$827,A83)&gt;=1,"YES","NO")</f>
        <v>YES</v>
      </c>
      <c r="C83" s="3" t="s">
        <v>857</v>
      </c>
      <c r="D83" s="3" t="str">
        <f aca="false">IF(COUNTIF(Final_CB_ML6_V5!$C$2:$C$827,C83)&gt;=1,"YES","NO")</f>
        <v>YES</v>
      </c>
      <c r="G83" s="4" t="str">
        <f aca="false">IFERROR(__xludf.dummyfunction("""COMPUTED_VALUE"""),"providing::clarification::about::intended::development::process")</f>
        <v>providing::clarification::about::intended::development::process</v>
      </c>
      <c r="H83" s="4" t="str">
        <f aca="false">IFERROR(__xludf.dummyfunction("""COMPUTED_VALUE"""),"discussing::about::plan::development::process::(same::or::different::project)")</f>
        <v>discussing::about::plan::development::process::(same::or::different::project)</v>
      </c>
    </row>
    <row r="84" customFormat="false" ht="15.75" hidden="false" customHeight="false" outlineLevel="0" collapsed="false">
      <c r="A84" s="3" t="s">
        <v>858</v>
      </c>
      <c r="B84" s="3" t="str">
        <f aca="false">IF(COUNTIF(Final_CB_ML6_V5!$B$2:$B$827,A84)&gt;=1,"YES","NO")</f>
        <v>YES</v>
      </c>
      <c r="C84" s="3" t="s">
        <v>859</v>
      </c>
      <c r="D84" s="3" t="str">
        <f aca="false">IF(COUNTIF(Final_CB_ML6_V5!$C$2:$C$827,C84)&gt;=1,"YES","NO")</f>
        <v>YES</v>
      </c>
      <c r="G84" s="4"/>
      <c r="H84" s="4" t="str">
        <f aca="false">IFERROR(__xludf.dummyfunction("""COMPUTED_VALUE"""),"discussing::changes::in::different::project::(e.g.,::neutron)")</f>
        <v>discussing::changes::in::different::project::(e.g.,::neutron)</v>
      </c>
    </row>
    <row r="85" customFormat="false" ht="15.75" hidden="false" customHeight="false" outlineLevel="0" collapsed="false">
      <c r="A85" s="3" t="s">
        <v>860</v>
      </c>
      <c r="B85" s="3" t="str">
        <f aca="false">IF(COUNTIF(Final_CB_ML6_V5!$B$2:$B$827,A85)&gt;=1,"YES","NO")</f>
        <v>YES</v>
      </c>
      <c r="C85" s="3" t="s">
        <v>861</v>
      </c>
      <c r="D85" s="3" t="str">
        <f aca="false">IF(COUNTIF(Final_CB_ML6_V5!$C$2:$C$827,C85)&gt;=1,"YES","NO")</f>
        <v>YES</v>
      </c>
      <c r="G85" s="4"/>
      <c r="H85" s="4" t="str">
        <f aca="false">IFERROR(__xludf.dummyfunction("""COMPUTED_VALUE"""),"discussing::clarification::about::conditions::to::change::status::of::project::(removing:.label::experimental)::which::holds::the::BP")</f>
        <v>discussing::clarification::about::conditions::to::change::status::of::project::(removing:.label::experimental)::which::holds::the::BP</v>
      </c>
    </row>
    <row r="86" customFormat="false" ht="15.75" hidden="false" customHeight="false" outlineLevel="0" collapsed="false">
      <c r="A86" s="3" t="s">
        <v>862</v>
      </c>
      <c r="B86" s="3" t="str">
        <f aca="false">IF(COUNTIF(Final_CB_ML6_V5!$B$2:$B$827,A86)&gt;=1,"YES","NO")</f>
        <v>YES</v>
      </c>
      <c r="C86" s="3" t="s">
        <v>863</v>
      </c>
      <c r="D86" s="3" t="str">
        <f aca="false">IF(COUNTIF(Final_CB_ML6_V5!$C$2:$C$827,C86)&gt;=1,"YES","NO")</f>
        <v>YES</v>
      </c>
      <c r="G86" s="4"/>
      <c r="H86" s="4" t="str">
        <f aca="false">IFERROR(__xludf.dummyfunction("""COMPUTED_VALUE"""),"discussing::clarification::about::design::choice::(hybrid::compute::nodes)")</f>
        <v>discussing::clarification::about::design::choice::(hybrid::compute::nodes)</v>
      </c>
    </row>
    <row r="87" customFormat="false" ht="15.75" hidden="false" customHeight="false" outlineLevel="0" collapsed="false">
      <c r="A87" s="3" t="s">
        <v>864</v>
      </c>
      <c r="B87" s="3" t="str">
        <f aca="false">IF(COUNTIF(Final_CB_ML6_V5!$B$2:$B$827,A87)&gt;=1,"YES","NO")</f>
        <v>YES</v>
      </c>
      <c r="C87" s="3" t="s">
        <v>772</v>
      </c>
      <c r="D87" s="3" t="str">
        <f aca="false">IF(COUNTIF(Final_CB_ML6_V5!$C$2:$C$827,C87)&gt;=1,"YES","NO")</f>
        <v>YES</v>
      </c>
      <c r="G87" s="4"/>
      <c r="H87" s="4" t="str">
        <f aca="false">IFERROR(__xludf.dummyfunction("""COMPUTED_VALUE"""),"discussing::clarification::about::design::choice::(hybrid::compute::nodes)::use::cases")</f>
        <v>discussing::clarification::about::design::choice::(hybrid::compute::nodes)::use::cases</v>
      </c>
    </row>
    <row r="88" customFormat="false" ht="15.75" hidden="false" customHeight="false" outlineLevel="0" collapsed="false">
      <c r="A88" s="3" t="s">
        <v>865</v>
      </c>
      <c r="B88" s="3" t="str">
        <f aca="false">IF(COUNTIF(Final_CB_ML6_V5!$B$2:$B$827,A88)&gt;=1,"YES","NO")</f>
        <v>YES</v>
      </c>
      <c r="C88" s="3" t="s">
        <v>866</v>
      </c>
      <c r="D88" s="3" t="str">
        <f aca="false">IF(COUNTIF(Final_CB_ML6_V5!$C$2:$C$827,C88)&gt;=1,"YES","NO")</f>
        <v>YES</v>
      </c>
      <c r="G88" s="4"/>
      <c r="H88" s="4" t="str">
        <f aca="false">IFERROR(__xludf.dummyfunction("""COMPUTED_VALUE"""),"discussing::clarification::about::design::choice::providing::options::of::implementation(hybrid::compute::nodes)")</f>
        <v>discussing::clarification::about::design::choice::providing::options::of::implementation(hybrid::compute::nodes)</v>
      </c>
    </row>
    <row r="89" customFormat="false" ht="15.75" hidden="false" customHeight="false" outlineLevel="0" collapsed="false">
      <c r="A89" s="3" t="s">
        <v>867</v>
      </c>
      <c r="B89" s="3" t="str">
        <f aca="false">IF(COUNTIF(Final_CB_ML6_V5!$B$2:$B$827,A89)&gt;=1,"YES","NO")</f>
        <v>YES</v>
      </c>
      <c r="C89" s="3" t="s">
        <v>776</v>
      </c>
      <c r="D89" s="3" t="str">
        <f aca="false">IF(COUNTIF(Final_CB_ML6_V5!$C$2:$C$827,C89)&gt;=1,"YES","NO")</f>
        <v>YES</v>
      </c>
      <c r="G89" s="4"/>
      <c r="H89" s="4" t="str">
        <f aca="false">IFERROR(__xludf.dummyfunction("""COMPUTED_VALUE"""),"discussing::clarification::about::status::of::project::(removing:.label::experimental)::which::holds::the::BP")</f>
        <v>discussing::clarification::about::status::of::project::(removing:.label::experimental)::which::holds::the::BP</v>
      </c>
    </row>
    <row r="90" customFormat="false" ht="15.75" hidden="false" customHeight="false" outlineLevel="0" collapsed="false">
      <c r="A90" s="3" t="s">
        <v>868</v>
      </c>
      <c r="B90" s="3" t="str">
        <f aca="false">IF(COUNTIF(Final_CB_ML6_V5!$B$2:$B$827,A90)&gt;=1,"YES","NO")</f>
        <v>YES</v>
      </c>
      <c r="C90" s="3" t="s">
        <v>778</v>
      </c>
      <c r="D90" s="3" t="str">
        <f aca="false">IF(COUNTIF(Final_CB_ML6_V5!$C$2:$C$827,C90)&gt;=1,"YES","NO")</f>
        <v>YES</v>
      </c>
      <c r="G90" s="4"/>
      <c r="H90" s="4" t="str">
        <f aca="false">IFERROR(__xludf.dummyfunction("""COMPUTED_VALUE"""),"discussing::complaining::about::previous::bad::developing")</f>
        <v>discussing::complaining::about::previous::bad::developing</v>
      </c>
    </row>
    <row r="91" customFormat="false" ht="15.75" hidden="false" customHeight="false" outlineLevel="0" collapsed="false">
      <c r="A91" s="3" t="s">
        <v>869</v>
      </c>
      <c r="B91" s="3" t="str">
        <f aca="false">IF(COUNTIF(Final_CB_ML6_V5!$B$2:$B$827,A91)&gt;=1,"YES","NO")</f>
        <v>YES</v>
      </c>
      <c r="C91" s="3" t="s">
        <v>870</v>
      </c>
      <c r="D91" s="3" t="str">
        <f aca="false">IF(COUNTIF(Final_CB_ML6_V5!$C$2:$C$827,C91)&gt;=1,"YES","NO")</f>
        <v>YES</v>
      </c>
      <c r="G91" s="4"/>
      <c r="H91" s="4" t="str">
        <f aca="false">IFERROR(__xludf.dummyfunction("""COMPUTED_VALUE"""),"discussing::cons::design::choice::(hybrid::compute::nodes)")</f>
        <v>discussing::cons::design::choice::(hybrid::compute::nodes)</v>
      </c>
    </row>
    <row r="92" customFormat="false" ht="15.75" hidden="false" customHeight="false" outlineLevel="0" collapsed="false">
      <c r="A92" s="3" t="s">
        <v>871</v>
      </c>
      <c r="B92" s="3" t="str">
        <f aca="false">IF(COUNTIF(Final_CB_ML6_V5!$B$2:$B$827,A92)&gt;=1,"YES","NO")</f>
        <v>YES</v>
      </c>
      <c r="C92" s="3" t="s">
        <v>872</v>
      </c>
      <c r="D92" s="3" t="str">
        <f aca="false">IF(COUNTIF(Final_CB_ML6_V5!$C$2:$C$827,C92)&gt;=1,"YES","NO")</f>
        <v>YES</v>
      </c>
      <c r="G92" s="4"/>
      <c r="H92" s="4" t="str">
        <f aca="false">IFERROR(__xludf.dummyfunction("""COMPUTED_VALUE"""),"discussing::cons::design::choice:::one::design::choice::of::implementation::(hybrid::compute::nodes)")</f>
        <v>discussing::cons::design::choice:::one::design::choice::of::implementation::(hybrid::compute::nodes)</v>
      </c>
    </row>
    <row r="93" customFormat="false" ht="15.75" hidden="false" customHeight="false" outlineLevel="0" collapsed="false">
      <c r="A93" s="3" t="s">
        <v>873</v>
      </c>
      <c r="B93" s="3" t="str">
        <f aca="false">IF(COUNTIF(Final_CB_ML6_V5!$B$2:$B$827,A93)&gt;=1,"YES","NO")</f>
        <v>YES</v>
      </c>
      <c r="C93" s="3" t="s">
        <v>874</v>
      </c>
      <c r="D93" s="3" t="str">
        <f aca="false">IF(COUNTIF(Final_CB_ML6_V5!$C$2:$C$827,C93)&gt;=1,"YES","NO")</f>
        <v>YES</v>
      </c>
      <c r="G93" s="4"/>
      <c r="H93" s="4" t="str">
        <f aca="false">IFERROR(__xludf.dummyfunction("""COMPUTED_VALUE"""),"discussing::development::process::(next::meeting::related::BP::content)")</f>
        <v>discussing::development::process::(next::meeting::related::BP::content)</v>
      </c>
    </row>
    <row r="94" customFormat="false" ht="15.75" hidden="false" customHeight="false" outlineLevel="0" collapsed="false">
      <c r="A94" s="3" t="s">
        <v>875</v>
      </c>
      <c r="B94" s="3" t="str">
        <f aca="false">IF(COUNTIF(Final_CB_ML6_V5!$B$2:$B$827,A94)&gt;=1,"YES","NO")</f>
        <v>YES</v>
      </c>
      <c r="C94" s="3" t="s">
        <v>876</v>
      </c>
      <c r="D94" s="3" t="str">
        <f aca="false">IF(COUNTIF(Final_CB_ML6_V5!$C$2:$C$827,C94)&gt;=1,"YES","NO")</f>
        <v>YES</v>
      </c>
      <c r="G94" s="4"/>
      <c r="H94" s="4" t="str">
        <f aca="false">IFERROR(__xludf.dummyfunction("""COMPUTED_VALUE"""),"discussing::proposing::development::project::(as::API)")</f>
        <v>discussing::proposing::development::project::(as::API)</v>
      </c>
    </row>
    <row r="95" customFormat="false" ht="15.75" hidden="false" customHeight="false" outlineLevel="0" collapsed="false">
      <c r="A95" s="3" t="s">
        <v>877</v>
      </c>
      <c r="B95" s="3" t="str">
        <f aca="false">IF(COUNTIF(Final_CB_ML6_V5!$B$2:$B$827,A95)&gt;=1,"YES","NO")</f>
        <v>YES</v>
      </c>
      <c r="C95" s="3" t="s">
        <v>878</v>
      </c>
      <c r="D95" s="3" t="str">
        <f aca="false">IF(COUNTIF(Final_CB_ML6_V5!$C$2:$C$827,C95)&gt;=1,"YES","NO")</f>
        <v>YES</v>
      </c>
      <c r="G95" s="4"/>
      <c r="H95" s="4" t="str">
        <f aca="false">IFERROR(__xludf.dummyfunction("""COMPUTED_VALUE"""),"discussing::proposing::keep::project::as::experimental::project")</f>
        <v>discussing::proposing::keep::project::as::experimental::project</v>
      </c>
    </row>
    <row r="96" customFormat="false" ht="15.75" hidden="false" customHeight="false" outlineLevel="0" collapsed="false">
      <c r="A96" s="3" t="s">
        <v>879</v>
      </c>
      <c r="B96" s="3" t="str">
        <f aca="false">IF(COUNTIF(Final_CB_ML6_V5!$B$2:$B$827,A96)&gt;=1,"YES","NO")</f>
        <v>YES</v>
      </c>
      <c r="C96" s="3" t="s">
        <v>880</v>
      </c>
      <c r="D96" s="3" t="str">
        <f aca="false">IF(COUNTIF(Final_CB_ML6_V5!$C$2:$C$827,C96)&gt;=1,"YES","NO")</f>
        <v>YES</v>
      </c>
      <c r="G96" s="4"/>
      <c r="H96" s="4" t="str">
        <f aca="false">IFERROR(__xludf.dummyfunction("""COMPUTED_VALUE"""),"discussing::pros::design::choice::to::keep::project::inside::nova::(user::importance)")</f>
        <v>discussing::pros::design::choice::to::keep::project::inside::nova::(user::importance)</v>
      </c>
    </row>
    <row r="97" customFormat="false" ht="15.75" hidden="false" customHeight="false" outlineLevel="0" collapsed="false">
      <c r="A97" s="3" t="s">
        <v>881</v>
      </c>
      <c r="B97" s="3" t="str">
        <f aca="false">IF(COUNTIF(Final_CB_ML6_V5!$B$2:$B$827,A97)&gt;=1,"YES","NO")</f>
        <v>YES</v>
      </c>
      <c r="C97" s="3" t="s">
        <v>882</v>
      </c>
      <c r="D97" s="3" t="str">
        <f aca="false">IF(COUNTIF(Final_CB_ML6_V5!$C$2:$C$827,C97)&gt;=1,"YES","NO")</f>
        <v>YES</v>
      </c>
      <c r="G97" s="4"/>
      <c r="H97" s="4" t="str">
        <f aca="false">IFERROR(__xludf.dummyfunction("""COMPUTED_VALUE"""),"discussing::solution::design::(asking::how::it::is::being::implemented)")</f>
        <v>discussing::solution::design::(asking::how::it::is::being::implemented)</v>
      </c>
    </row>
    <row r="98" customFormat="false" ht="15.75" hidden="false" customHeight="false" outlineLevel="0" collapsed="false">
      <c r="A98" s="3" t="s">
        <v>883</v>
      </c>
      <c r="B98" s="3" t="str">
        <f aca="false">IF(COUNTIF(Final_CB_ML6_V5!$B$2:$B$827,A98)&gt;=1,"YES","NO")</f>
        <v>YES</v>
      </c>
      <c r="C98" s="3" t="s">
        <v>884</v>
      </c>
      <c r="D98" s="3" t="str">
        <f aca="false">IF(COUNTIF(Final_CB_ML6_V5!$C$2:$C$827,C98)&gt;=1,"YES","NO")</f>
        <v>YES</v>
      </c>
      <c r="G98" s="4"/>
      <c r="H98" s="4" t="str">
        <f aca="false">IFERROR(__xludf.dummyfunction("""COMPUTED_VALUE"""),"discussing::solution::design::(components::of::the::solution)")</f>
        <v>discussing::solution::design::(components::of::the::solution)</v>
      </c>
    </row>
    <row r="99" customFormat="false" ht="15.75" hidden="false" customHeight="false" outlineLevel="0" collapsed="false">
      <c r="A99" s="3" t="s">
        <v>885</v>
      </c>
      <c r="B99" s="3" t="str">
        <f aca="false">IF(COUNTIF(Final_CB_ML6_V5!$B$2:$B$827,A99)&gt;=1,"YES","NO")</f>
        <v>YES</v>
      </c>
      <c r="C99" s="3" t="s">
        <v>886</v>
      </c>
      <c r="D99" s="3" t="str">
        <f aca="false">IF(COUNTIF(Final_CB_ML6_V5!$C$2:$C$827,C99)&gt;=1,"YES","NO")</f>
        <v>YES</v>
      </c>
      <c r="G99" s="4"/>
      <c r="H99" s="4" t="str">
        <f aca="false">IFERROR(__xludf.dummyfunction("""COMPUTED_VALUE"""),"discussing::solution::design::(functionallity::that::are::not::yet::available)")</f>
        <v>discussing::solution::design::(functionallity::that::are::not::yet::available)</v>
      </c>
    </row>
    <row r="100" customFormat="false" ht="15.75" hidden="false" customHeight="false" outlineLevel="0" collapsed="false">
      <c r="A100" s="3" t="s">
        <v>887</v>
      </c>
      <c r="B100" s="3" t="str">
        <f aca="false">IF(COUNTIF(Final_CB_ML6_V5!$B$2:$B$827,A100)&gt;=1,"YES","NO")</f>
        <v>YES</v>
      </c>
      <c r="C100" s="3" t="s">
        <v>888</v>
      </c>
      <c r="D100" s="3" t="str">
        <f aca="false">IF(COUNTIF(Final_CB_ML6_V5!$C$2:$C$827,C100)&gt;=1,"YES","NO")</f>
        <v>YES</v>
      </c>
      <c r="G100" s="4"/>
      <c r="H100" s="4" t="str">
        <f aca="false">IFERROR(__xludf.dummyfunction("""COMPUTED_VALUE"""),"discussing::solution::design::(requirements::of::the::solution)::proposing::an::alternative")</f>
        <v>discussing::solution::design::(requirements::of::the::solution)::proposing::an::alternative</v>
      </c>
    </row>
    <row r="101" customFormat="false" ht="15.75" hidden="false" customHeight="false" outlineLevel="0" collapsed="false">
      <c r="A101" s="3" t="s">
        <v>889</v>
      </c>
      <c r="B101" s="3" t="str">
        <f aca="false">IF(COUNTIF(Final_CB_ML6_V5!$B$2:$B$827,A101)&gt;=1,"YES","NO")</f>
        <v>YES</v>
      </c>
      <c r="C101" s="3" t="s">
        <v>890</v>
      </c>
      <c r="D101" s="3" t="str">
        <f aca="false">IF(COUNTIF(Final_CB_ML6_V5!$C$2:$C$827,C101)&gt;=1,"YES","NO")</f>
        <v>YES</v>
      </c>
      <c r="G101" s="4"/>
      <c r="H101" s="4" t="str">
        <f aca="false">IFERROR(__xludf.dummyfunction("""COMPUTED_VALUE"""),"discussing::the::cons::of::a::design::choice::to::keep::project::inside::nova")</f>
        <v>discussing::the::cons::of::a::design::choice::to::keep::project::inside::nova</v>
      </c>
    </row>
    <row r="102" customFormat="false" ht="15.75" hidden="false" customHeight="false" outlineLevel="0" collapsed="false">
      <c r="A102" s="3" t="s">
        <v>891</v>
      </c>
      <c r="B102" s="3" t="str">
        <f aca="false">IF(COUNTIF(Final_CB_ML6_V5!$B$2:$B$827,A102)&gt;=1,"YES","NO")</f>
        <v>YES</v>
      </c>
      <c r="C102" s="3" t="s">
        <v>892</v>
      </c>
      <c r="D102" s="3" t="str">
        <f aca="false">IF(COUNTIF(Final_CB_ML6_V5!$C$2:$C$827,C102)&gt;=1,"YES","NO")</f>
        <v>YES</v>
      </c>
      <c r="G102" s="4"/>
      <c r="H102" s="4" t="str">
        <f aca="false">IFERROR(__xludf.dummyfunction("""COMPUTED_VALUE"""),"discussing::the::depracation::of::a::feature::which::would::block::the::BP")</f>
        <v>discussing::the::depracation::of::a::feature::which::would::block::the::BP</v>
      </c>
    </row>
    <row r="103" customFormat="false" ht="15.75" hidden="false" customHeight="false" outlineLevel="0" collapsed="false">
      <c r="A103" s="3" t="s">
        <v>893</v>
      </c>
      <c r="B103" s="3" t="str">
        <f aca="false">IF(COUNTIF(Final_CB_ML6_V5!$B$2:$B$827,A103)&gt;=1,"YES","NO")</f>
        <v>YES</v>
      </c>
      <c r="C103" s="3" t="s">
        <v>894</v>
      </c>
      <c r="D103" s="3" t="str">
        <f aca="false">IF(COUNTIF(Final_CB_ML6_V5!$C$2:$C$827,C103)&gt;=1,"YES","NO")</f>
        <v>YES</v>
      </c>
      <c r="G103" s="4"/>
      <c r="H103" s="4" t="str">
        <f aca="false">IFERROR(__xludf.dummyfunction("""COMPUTED_VALUE"""),"discussing::the::new::release::deadline::for::BP/feature::due::to::rejection::of::FFE")</f>
        <v>discussing::the::new::release::deadline::for::BP/feature::due::to::rejection::of::FFE</v>
      </c>
    </row>
    <row r="104" customFormat="false" ht="15.75" hidden="false" customHeight="false" outlineLevel="0" collapsed="false">
      <c r="A104" s="3" t="s">
        <v>895</v>
      </c>
      <c r="B104" s="3" t="str">
        <f aca="false">IF(COUNTIF(Final_CB_ML6_V5!$B$2:$B$827,A104)&gt;=1,"YES","NO")</f>
        <v>YES</v>
      </c>
      <c r="C104" s="3" t="s">
        <v>896</v>
      </c>
      <c r="D104" s="3" t="str">
        <f aca="false">IF(COUNTIF(Final_CB_ML6_V5!$C$2:$C$827,C104)&gt;=1,"YES","NO")</f>
        <v>YES</v>
      </c>
      <c r="G104" s="4"/>
      <c r="H104" s="4" t="str">
        <f aca="false">IFERROR(__xludf.dummyfunction("""COMPUTED_VALUE"""),"divide::and::conquer::methodology::for::a::group::of::features::which::includes::the::BP/feature")</f>
        <v>divide::and::conquer::methodology::for::a::group::of::features::which::includes::the::BP/feature</v>
      </c>
    </row>
    <row r="105" customFormat="false" ht="15.75" hidden="false" customHeight="false" outlineLevel="0" collapsed="false">
      <c r="A105" s="3" t="s">
        <v>897</v>
      </c>
      <c r="B105" s="3" t="str">
        <f aca="false">IF(COUNTIF(Final_CB_ML6_V5!$B$2:$B$827,A105)&gt;=1,"YES","NO")</f>
        <v>YES</v>
      </c>
      <c r="C105" s="3" t="s">
        <v>898</v>
      </c>
      <c r="D105" s="3" t="str">
        <f aca="false">IF(COUNTIF(Final_CB_ML6_V5!$C$2:$C$827,C105)&gt;=1,"YES","NO")</f>
        <v>YES</v>
      </c>
      <c r="G105" s="4"/>
      <c r="H105" s="4" t="str">
        <f aca="false">IFERROR(__xludf.dummyfunction("""COMPUTED_VALUE"""),"draft::proposal::for::implementing::the::BP/feature::not::production::code")</f>
        <v>draft::proposal::for::implementing::the::BP/feature::not::production::code</v>
      </c>
    </row>
    <row r="106" customFormat="false" ht="15.75" hidden="false" customHeight="false" outlineLevel="0" collapsed="false">
      <c r="A106" s="3" t="s">
        <v>899</v>
      </c>
      <c r="B106" s="3" t="str">
        <f aca="false">IF(COUNTIF(Final_CB_ML6_V5!$B$2:$B$827,A106)&gt;=1,"YES","NO")</f>
        <v>YES</v>
      </c>
      <c r="C106" s="3" t="s">
        <v>900</v>
      </c>
      <c r="D106" s="3" t="str">
        <f aca="false">IF(COUNTIF(Final_CB_ML6_V5!$C$2:$C$827,C106)&gt;=1,"YES","NO")</f>
        <v>YES</v>
      </c>
      <c r="G106" s="4"/>
      <c r="H106" s="4" t="str">
        <f aca="false">IFERROR(__xludf.dummyfunction("""COMPUTED_VALUE"""),"expectations::of::addressing::the::proposed::BP/feature::as::API")</f>
        <v>expectations::of::addressing::the::proposed::BP/feature::as::API</v>
      </c>
    </row>
    <row r="107" customFormat="false" ht="15.75" hidden="false" customHeight="false" outlineLevel="0" collapsed="false">
      <c r="A107" s="3" t="s">
        <v>901</v>
      </c>
      <c r="B107" s="3" t="str">
        <f aca="false">IF(COUNTIF(Final_CB_ML6_V5!$B$2:$B$827,A107)&gt;=1,"YES","NO")</f>
        <v>YES</v>
      </c>
      <c r="C107" s="3" t="s">
        <v>783</v>
      </c>
      <c r="D107" s="3" t="str">
        <f aca="false">IF(COUNTIF(Final_CB_ML6_V5!$C$2:$C$827,C107)&gt;=1,"YES","NO")</f>
        <v>YES</v>
      </c>
      <c r="G107" s="4"/>
      <c r="H107" s="4" t="str">
        <f aca="false">IFERROR(__xludf.dummyfunction("""COMPUTED_VALUE"""),"expectations::of::addressing::the::proposed::BP/feature::in::software::compatibility")</f>
        <v>expectations::of::addressing::the::proposed::BP/feature::in::software::compatibility</v>
      </c>
    </row>
    <row r="108" customFormat="false" ht="15.75" hidden="false" customHeight="false" outlineLevel="0" collapsed="false">
      <c r="A108" s="3" t="s">
        <v>902</v>
      </c>
      <c r="B108" s="3" t="str">
        <f aca="false">IF(COUNTIF(Final_CB_ML6_V5!$B$2:$B$827,A108)&gt;=1,"YES","NO")</f>
        <v>YES</v>
      </c>
      <c r="C108" s="3" t="s">
        <v>903</v>
      </c>
      <c r="D108" s="3" t="str">
        <f aca="false">IF(COUNTIF(Final_CB_ML6_V5!$C$2:$C$827,C108)&gt;=1,"YES","NO")</f>
        <v>YES</v>
      </c>
      <c r="G108" s="4"/>
      <c r="H108" s="4" t="str">
        <f aca="false">IFERROR(__xludf.dummyfunction("""COMPUTED_VALUE"""),"expectations::of::addressing::the::proposed::BP/feature::in::software::reliability")</f>
        <v>expectations::of::addressing::the::proposed::BP/feature::in::software::reliability</v>
      </c>
    </row>
    <row r="109" customFormat="false" ht="15.75" hidden="false" customHeight="false" outlineLevel="0" collapsed="false">
      <c r="A109" s="3" t="s">
        <v>904</v>
      </c>
      <c r="B109" s="3" t="str">
        <f aca="false">IF(COUNTIF(Final_CB_ML6_V5!$B$2:$B$827,A109)&gt;=1,"YES","NO")</f>
        <v>YES</v>
      </c>
      <c r="C109" s="3" t="s">
        <v>905</v>
      </c>
      <c r="D109" s="3" t="str">
        <f aca="false">IF(COUNTIF(Final_CB_ML6_V5!$C$2:$C$827,C109)&gt;=1,"YES","NO")</f>
        <v>YES</v>
      </c>
      <c r="G109" s="4"/>
      <c r="H109" s="4" t="str">
        <f aca="false">IFERROR(__xludf.dummyfunction("""COMPUTED_VALUE"""),"expectations::of::addressing::the::proposed::BP/feature::in::software::security")</f>
        <v>expectations::of::addressing::the::proposed::BP/feature::in::software::security</v>
      </c>
    </row>
    <row r="110" customFormat="false" ht="15.75" hidden="false" customHeight="false" outlineLevel="0" collapsed="false">
      <c r="A110" s="3" t="s">
        <v>906</v>
      </c>
      <c r="B110" s="3" t="str">
        <f aca="false">IF(COUNTIF(Final_CB_ML6_V5!$B$2:$B$827,A110)&gt;=1,"YES","NO")</f>
        <v>YES</v>
      </c>
      <c r="C110" s="3" t="s">
        <v>907</v>
      </c>
      <c r="D110" s="3" t="str">
        <f aca="false">IF(COUNTIF(Final_CB_ML6_V5!$C$2:$C$827,C110)&gt;=1,"YES","NO")</f>
        <v>YES</v>
      </c>
      <c r="G110" s="4"/>
      <c r="H110" s="4" t="str">
        <f aca="false">IFERROR(__xludf.dummyfunction("""COMPUTED_VALUE"""),"expectations::of::releasing::the::proposed::BP/feature::resourceAllocation::scheduling::policies")</f>
        <v>expectations::of::releasing::the::proposed::BP/feature::resourceAllocation::scheduling::policies</v>
      </c>
    </row>
    <row r="111" customFormat="false" ht="15.75" hidden="false" customHeight="false" outlineLevel="0" collapsed="false">
      <c r="A111" s="3" t="s">
        <v>908</v>
      </c>
      <c r="B111" s="3" t="str">
        <f aca="false">IF(COUNTIF(Final_CB_ML6_V5!$B$2:$B$827,A111)&gt;=1,"YES","NO")</f>
        <v>YES</v>
      </c>
      <c r="C111" s="3" t="s">
        <v>909</v>
      </c>
      <c r="D111" s="3" t="str">
        <f aca="false">IF(COUNTIF(Final_CB_ML6_V5!$C$2:$C$827,C111)&gt;=1,"YES","NO")</f>
        <v>YES</v>
      </c>
      <c r="G111" s="4"/>
      <c r="H111" s="4" t="str">
        <f aca="false">IFERROR(__xludf.dummyfunction("""COMPUTED_VALUE"""),"False::Positive")</f>
        <v>False::Positive</v>
      </c>
    </row>
    <row r="112" customFormat="false" ht="15.75" hidden="false" customHeight="false" outlineLevel="0" collapsed="false">
      <c r="A112" s="3" t="s">
        <v>910</v>
      </c>
      <c r="B112" s="3" t="str">
        <f aca="false">IF(COUNTIF(Final_CB_ML6_V5!$B$2:$B$827,A112)&gt;=1,"YES","NO")</f>
        <v>YES</v>
      </c>
      <c r="C112" s="3" t="s">
        <v>911</v>
      </c>
      <c r="D112" s="3" t="str">
        <f aca="false">IF(COUNTIF(Final_CB_ML6_V5!$C$2:$C$827,C112)&gt;=1,"YES","NO")</f>
        <v>YES</v>
      </c>
      <c r="G112" s="4"/>
      <c r="H112" s="4" t="str">
        <f aca="false">IFERROR(__xludf.dummyfunction("""COMPUTED_VALUE"""),"False::Positive::(in::thread::no::practice)")</f>
        <v>False::Positive::(in::thread::no::practice)</v>
      </c>
    </row>
    <row r="113" customFormat="false" ht="15.75" hidden="false" customHeight="false" outlineLevel="0" collapsed="false">
      <c r="A113" s="3" t="s">
        <v>912</v>
      </c>
      <c r="B113" s="3" t="str">
        <f aca="false">IF(COUNTIF(Final_CB_ML6_V5!$B$2:$B$827,A113)&gt;=1,"YES","NO")</f>
        <v>YES</v>
      </c>
      <c r="C113" s="3" t="s">
        <v>913</v>
      </c>
      <c r="D113" s="3" t="str">
        <f aca="false">IF(COUNTIF(Final_CB_ML6_V5!$C$2:$C$827,C113)&gt;=1,"YES","NO")</f>
        <v>YES</v>
      </c>
      <c r="G113" s="4"/>
      <c r="H113" s="4" t="str">
        <f aca="false">IFERROR(__xludf.dummyfunction("""COMPUTED_VALUE"""),"False::Positive::(in::thread::not::BP::related)")</f>
        <v>False::Positive::(in::thread::not::BP::related)</v>
      </c>
    </row>
    <row r="114" customFormat="false" ht="15.75" hidden="false" customHeight="false" outlineLevel="0" collapsed="false">
      <c r="A114" s="3" t="s">
        <v>914</v>
      </c>
      <c r="B114" s="3" t="str">
        <f aca="false">IF(COUNTIF(Final_CB_ML6_V5!$B$2:$B$827,A114)&gt;=1,"YES","NO")</f>
        <v>YES</v>
      </c>
      <c r="C114" s="3" t="s">
        <v>915</v>
      </c>
      <c r="D114" s="3" t="str">
        <f aca="false">IF(COUNTIF(Final_CB_ML6_V5!$C$2:$C$827,C114)&gt;=1,"YES","NO")</f>
        <v>YES</v>
      </c>
      <c r="G114" s="4"/>
      <c r="H114" s="4" t="str">
        <f aca="false">IFERROR(__xludf.dummyfunction("""COMPUTED_VALUE"""),"False::Positive::(in::thread::not::bug::related)")</f>
        <v>False::Positive::(in::thread::not::bug::related)</v>
      </c>
    </row>
    <row r="115" customFormat="false" ht="15.75" hidden="false" customHeight="false" outlineLevel="0" collapsed="false">
      <c r="A115" s="3" t="s">
        <v>916</v>
      </c>
      <c r="B115" s="3" t="str">
        <f aca="false">IF(COUNTIF(Final_CB_ML6_V5!$B$2:$B$827,A115)&gt;=1,"YES","NO")</f>
        <v>YES</v>
      </c>
      <c r="C115" s="3" t="s">
        <v>917</v>
      </c>
      <c r="D115" s="3" t="str">
        <f aca="false">IF(COUNTIF(Final_CB_ML6_V5!$C$2:$C$827,C115)&gt;=1,"YES","NO")</f>
        <v>YES</v>
      </c>
      <c r="G115" s="4"/>
      <c r="H115" s="4" t="str">
        <f aca="false">IFERROR(__xludf.dummyfunction("""COMPUTED_VALUE"""),"False::Positive::NOT::related::at::all")</f>
        <v>False::Positive::NOT::related::at::all</v>
      </c>
    </row>
    <row r="116" customFormat="false" ht="15.75" hidden="false" customHeight="false" outlineLevel="0" collapsed="false">
      <c r="A116" s="3" t="s">
        <v>918</v>
      </c>
      <c r="B116" s="3" t="str">
        <f aca="false">IF(COUNTIF(Final_CB_ML6_V5!$B$2:$B$827,A116)&gt;=1,"YES","NO")</f>
        <v>YES</v>
      </c>
      <c r="C116" s="3" t="s">
        <v>919</v>
      </c>
      <c r="D116" s="3" t="str">
        <f aca="false">IF(COUNTIF(Final_CB_ML6_V5!$C$2:$C$827,C116)&gt;=1,"YES","NO")</f>
        <v>YES</v>
      </c>
      <c r="G116" s="4"/>
      <c r="H116" s="4" t="str">
        <f aca="false">IFERROR(__xludf.dummyfunction("""COMPUTED_VALUE"""),"history::of::the::bug/BP")</f>
        <v>history::of::the::bug/BP</v>
      </c>
    </row>
    <row r="117" customFormat="false" ht="15.75" hidden="false" customHeight="false" outlineLevel="0" collapsed="false">
      <c r="A117" s="3" t="s">
        <v>920</v>
      </c>
      <c r="B117" s="3" t="str">
        <f aca="false">IF(COUNTIF(Final_CB_ML6_V5!$B$2:$B$827,A117)&gt;=1,"YES","NO")</f>
        <v>YES</v>
      </c>
      <c r="C117" s="3" t="s">
        <v>791</v>
      </c>
      <c r="D117" s="3" t="str">
        <f aca="false">IF(COUNTIF(Final_CB_ML6_V5!$C$2:$C$827,C117)&gt;=1,"YES","NO")</f>
        <v>YES</v>
      </c>
      <c r="G117" s="4"/>
      <c r="H117" s="4" t="str">
        <f aca="false">IFERROR(__xludf.dummyfunction("""COMPUTED_VALUE"""),"how::to::adress::bugs::(not::bp/feature::related)")</f>
        <v>how::to::adress::bugs::(not::bp/feature::related)</v>
      </c>
    </row>
    <row r="118" customFormat="false" ht="15.75" hidden="false" customHeight="false" outlineLevel="0" collapsed="false">
      <c r="A118" s="3" t="s">
        <v>921</v>
      </c>
      <c r="B118" s="3" t="str">
        <f aca="false">IF(COUNTIF(Final_CB_ML6_V5!$B$2:$B$827,A118)&gt;=1,"YES","NO")</f>
        <v>YES</v>
      </c>
      <c r="C118" s="3" t="s">
        <v>793</v>
      </c>
      <c r="D118" s="3" t="str">
        <f aca="false">IF(COUNTIF(Final_CB_ML6_V5!$C$2:$C$827,C118)&gt;=1,"YES","NO")</f>
        <v>YES</v>
      </c>
      <c r="G118" s="4"/>
      <c r="H118" s="4" t="str">
        <f aca="false">IFERROR(__xludf.dummyfunction("""COMPUTED_VALUE"""),"impact::of::depracating::a::feature::(not::BP)")</f>
        <v>impact::of::depracating::a::feature::(not::BP)</v>
      </c>
    </row>
    <row r="119" customFormat="false" ht="15.75" hidden="false" customHeight="false" outlineLevel="0" collapsed="false">
      <c r="A119" s="3" t="s">
        <v>922</v>
      </c>
      <c r="B119" s="3" t="str">
        <f aca="false">IF(COUNTIF(Final_CB_ML6_V5!$B$2:$B$827,A119)&gt;=1,"YES","NO")</f>
        <v>YES</v>
      </c>
      <c r="C119" s="3" t="s">
        <v>923</v>
      </c>
      <c r="D119" s="3" t="str">
        <f aca="false">IF(COUNTIF(Final_CB_ML6_V5!$C$2:$C$827,C119)&gt;=1,"YES","NO")</f>
        <v>YES</v>
      </c>
      <c r="G119" s="4"/>
      <c r="H119" s="4" t="str">
        <f aca="false">IFERROR(__xludf.dummyfunction("""COMPUTED_VALUE"""),"impact::of::the::bug::fix::(open::oportunities::to::new:.changes)")</f>
        <v>impact::of::the::bug::fix::(open::oportunities::to::new:.changes)</v>
      </c>
    </row>
    <row r="120" customFormat="false" ht="15.75" hidden="false" customHeight="false" outlineLevel="0" collapsed="false">
      <c r="A120" s="3" t="s">
        <v>924</v>
      </c>
      <c r="B120" s="3" t="str">
        <f aca="false">IF(COUNTIF(Final_CB_ML6_V5!$B$2:$B$827,A120)&gt;=1,"YES","NO")</f>
        <v>YES</v>
      </c>
      <c r="C120" s="3" t="s">
        <v>795</v>
      </c>
      <c r="D120" s="3" t="str">
        <f aca="false">IF(COUNTIF(Final_CB_ML6_V5!$C$2:$C$827,C120)&gt;=1,"YES","NO")</f>
        <v>YES</v>
      </c>
      <c r="G120" s="4"/>
      <c r="H120" s="4" t="str">
        <f aca="false">IFERROR(__xludf.dummyfunction("""COMPUTED_VALUE"""),"implement::a::temporal::solution::that::will::be::later::improved")</f>
        <v>implement::a::temporal::solution::that::will::be::later::improved</v>
      </c>
    </row>
    <row r="121" customFormat="false" ht="15.75" hidden="false" customHeight="false" outlineLevel="0" collapsed="false">
      <c r="A121" s="3" t="s">
        <v>925</v>
      </c>
      <c r="B121" s="3" t="str">
        <f aca="false">IF(COUNTIF(Final_CB_ML6_V5!$B$2:$B$827,A121)&gt;=1,"YES","NO")</f>
        <v>YES</v>
      </c>
      <c r="C121" s="3" t="s">
        <v>800</v>
      </c>
      <c r="D121" s="3" t="str">
        <f aca="false">IF(COUNTIF(Final_CB_ML6_V5!$C$2:$C$827,C121)&gt;=1,"YES","NO")</f>
        <v>YES</v>
      </c>
      <c r="G121" s="4"/>
      <c r="H121" s="4" t="str">
        <f aca="false">IFERROR(__xludf.dummyfunction("""COMPUTED_VALUE"""),"including::people::from::different::but::related::thread::to::the::actual::thread")</f>
        <v>including::people::from::different::but::related::thread::to::the::actual::thread</v>
      </c>
    </row>
    <row r="122" customFormat="false" ht="15.75" hidden="false" customHeight="false" outlineLevel="0" collapsed="false">
      <c r="A122" s="3" t="s">
        <v>926</v>
      </c>
      <c r="B122" s="3" t="str">
        <f aca="false">IF(COUNTIF(Final_CB_ML6_V5!$B$2:$B$827,A122)&gt;=1,"YES","NO")</f>
        <v>YES</v>
      </c>
      <c r="C122" s="3" t="s">
        <v>802</v>
      </c>
      <c r="D122" s="3" t="str">
        <f aca="false">IF(COUNTIF(Final_CB_ML6_V5!$C$2:$C$827,C122)&gt;=1,"YES","NO")</f>
        <v>YES</v>
      </c>
      <c r="G122" s="4"/>
      <c r="H122" s="4" t="str">
        <f aca="false">IFERROR(__xludf.dummyfunction("""COMPUTED_VALUE"""),"indicating::status::of::cycle::of::development::for::a::milestone::including::feature/BP/bug")</f>
        <v>indicating::status::of::cycle::of::development::for::a::milestone::including::feature/BP/bug</v>
      </c>
    </row>
    <row r="123" customFormat="false" ht="15.75" hidden="false" customHeight="false" outlineLevel="0" collapsed="false">
      <c r="A123" s="3" t="s">
        <v>927</v>
      </c>
      <c r="B123" s="3" t="str">
        <f aca="false">IF(COUNTIF(Final_CB_ML6_V5!$B$2:$B$827,A123)&gt;=1,"YES","NO")</f>
        <v>YES</v>
      </c>
      <c r="C123" s="3" t="s">
        <v>928</v>
      </c>
      <c r="D123" s="3" t="str">
        <f aca="false">IF(COUNTIF(Final_CB_ML6_V5!$C$2:$C$827,C123)&gt;=1,"YES","NO")</f>
        <v>YES</v>
      </c>
      <c r="G123" s="4"/>
      <c r="H123" s="4" t="str">
        <f aca="false">IFERROR(__xludf.dummyfunction("""COMPUTED_VALUE"""),"indicating::status::of::cycle::of::development::for::a::patch")</f>
        <v>indicating::status::of::cycle::of::development::for::a::patch</v>
      </c>
    </row>
    <row r="124" customFormat="false" ht="15.75" hidden="false" customHeight="false" outlineLevel="0" collapsed="false">
      <c r="A124" s="3" t="s">
        <v>929</v>
      </c>
      <c r="B124" s="3" t="str">
        <f aca="false">IF(COUNTIF(Final_CB_ML6_V5!$B$2:$B$827,A124)&gt;=1,"YES","NO")</f>
        <v>YES</v>
      </c>
      <c r="C124" s="3" t="s">
        <v>930</v>
      </c>
      <c r="D124" s="3" t="str">
        <f aca="false">IF(COUNTIF(Final_CB_ML6_V5!$C$2:$C$827,C124)&gt;=1,"YES","NO")</f>
        <v>YES</v>
      </c>
      <c r="G124" s="4"/>
      <c r="H124" s="4" t="str">
        <f aca="false">IFERROR(__xludf.dummyfunction("""COMPUTED_VALUE"""),"indicating::status::of::cycle::of::development::for::a::project")</f>
        <v>indicating::status::of::cycle::of::development::for::a::project</v>
      </c>
    </row>
    <row r="125" customFormat="false" ht="15.75" hidden="false" customHeight="false" outlineLevel="0" collapsed="false">
      <c r="A125" s="3" t="s">
        <v>931</v>
      </c>
      <c r="B125" s="3" t="str">
        <f aca="false">IF(COUNTIF(Final_CB_ML6_V5!$B$2:$B$827,A125)&gt;=1,"YES","NO")</f>
        <v>YES</v>
      </c>
      <c r="C125" s="3" t="s">
        <v>932</v>
      </c>
      <c r="D125" s="3" t="str">
        <f aca="false">IF(COUNTIF(Final_CB_ML6_V5!$C$2:$C$827,C125)&gt;=1,"YES","NO")</f>
        <v>YES</v>
      </c>
      <c r="G125" s="4"/>
      <c r="H125" s="4" t="str">
        <f aca="false">IFERROR(__xludf.dummyfunction("""COMPUTED_VALUE"""),"indicating::status::of::cycle::of::development::for::a::project::(related::to::BP::topic)")</f>
        <v>indicating::status::of::cycle::of::development::for::a::project::(related::to::BP::topic)</v>
      </c>
    </row>
    <row r="126" customFormat="false" ht="15.75" hidden="false" customHeight="false" outlineLevel="0" collapsed="false">
      <c r="A126" s="3" t="s">
        <v>933</v>
      </c>
      <c r="B126" s="3" t="str">
        <f aca="false">IF(COUNTIF(Final_CB_ML6_V5!$B$2:$B$827,A126)&gt;=1,"YES","NO")</f>
        <v>YES</v>
      </c>
      <c r="C126" s="3" t="s">
        <v>806</v>
      </c>
      <c r="D126" s="3" t="str">
        <f aca="false">IF(COUNTIF(Final_CB_ML6_V5!$C$2:$C$827,C126)&gt;=1,"YES","NO")</f>
        <v>YES</v>
      </c>
      <c r="G126" s="4"/>
      <c r="H126" s="4" t="str">
        <f aca="false">IFERROR(__xludf.dummyfunction("""COMPUTED_VALUE"""),"indicating::status::of::cycle::of::development::for::a::release")</f>
        <v>indicating::status::of::cycle::of::development::for::a::release</v>
      </c>
    </row>
    <row r="127" customFormat="false" ht="15.75" hidden="false" customHeight="false" outlineLevel="0" collapsed="false">
      <c r="A127" s="3" t="s">
        <v>934</v>
      </c>
      <c r="B127" s="3" t="str">
        <f aca="false">IF(COUNTIF(Final_CB_ML6_V5!$B$2:$B$827,A127)&gt;=1,"YES","NO")</f>
        <v>YES</v>
      </c>
      <c r="C127" s="3" t="s">
        <v>808</v>
      </c>
      <c r="D127" s="3" t="str">
        <f aca="false">IF(COUNTIF(Final_CB_ML6_V5!$C$2:$C$827,C127)&gt;=1,"YES","NO")</f>
        <v>YES</v>
      </c>
      <c r="G127" s="4"/>
      <c r="H127" s="4" t="str">
        <f aca="false">IFERROR(__xludf.dummyfunction("""COMPUTED_VALUE"""),"indicating::status::of::cycle::of::development::for::specific::bugs::(other::bugs::not::feature/BP::related)")</f>
        <v>indicating::status::of::cycle::of::development::for::specific::bugs::(other::bugs::not::feature/BP::related)</v>
      </c>
    </row>
    <row r="128" customFormat="false" ht="15.75" hidden="false" customHeight="false" outlineLevel="0" collapsed="false">
      <c r="A128" s="3" t="s">
        <v>935</v>
      </c>
      <c r="B128" s="3" t="str">
        <f aca="false">IF(COUNTIF(Final_CB_ML6_V5!$B$2:$B$827,A128)&gt;=1,"YES","NO")</f>
        <v>YES</v>
      </c>
      <c r="C128" s="3" t="s">
        <v>936</v>
      </c>
      <c r="D128" s="3" t="str">
        <f aca="false">IF(COUNTIF(Final_CB_ML6_V5!$C$2:$C$827,C128)&gt;=1,"YES","NO")</f>
        <v>YES</v>
      </c>
      <c r="G128" s="4"/>
      <c r="H128" s="4" t="str">
        <f aca="false">IFERROR(__xludf.dummyfunction("""COMPUTED_VALUE"""),"indicating::status::of::cycle::of::development::for::the::BP/feature")</f>
        <v>indicating::status::of::cycle::of::development::for::the::BP/feature</v>
      </c>
    </row>
    <row r="129" customFormat="false" ht="15.75" hidden="false" customHeight="false" outlineLevel="0" collapsed="false">
      <c r="A129" s="3" t="s">
        <v>937</v>
      </c>
      <c r="B129" s="3" t="str">
        <f aca="false">IF(COUNTIF(Final_CB_ML6_V5!$B$2:$B$827,A129)&gt;=1,"YES","NO")</f>
        <v>YES</v>
      </c>
      <c r="C129" s="3" t="s">
        <v>938</v>
      </c>
      <c r="D129" s="3" t="str">
        <f aca="false">IF(COUNTIF(Final_CB_ML6_V5!$C$2:$C$827,C129)&gt;=1,"YES","NO")</f>
        <v>YES</v>
      </c>
      <c r="G129" s="4"/>
      <c r="H129" s="4" t="str">
        <f aca="false">IFERROR(__xludf.dummyfunction("""COMPUTED_VALUE"""),"informing::abandoning::abandoned::ppojects::(exercises)")</f>
        <v>informing::abandoning::abandoned::ppojects::(exercises)</v>
      </c>
    </row>
    <row r="130" customFormat="false" ht="15.75" hidden="false" customHeight="false" outlineLevel="0" collapsed="false">
      <c r="A130" s="3" t="s">
        <v>939</v>
      </c>
      <c r="B130" s="3" t="str">
        <f aca="false">IF(COUNTIF(Final_CB_ML6_V5!$B$2:$B$827,A130)&gt;=1,"YES","NO")</f>
        <v>YES</v>
      </c>
      <c r="C130" s="3" t="s">
        <v>940</v>
      </c>
      <c r="D130" s="3" t="str">
        <f aca="false">IF(COUNTIF(Final_CB_ML6_V5!$C$2:$C$827,C130)&gt;=1,"YES","NO")</f>
        <v>YES</v>
      </c>
      <c r="G130" s="4"/>
      <c r="H130" s="4" t="str">
        <f aca="false">IFERROR(__xludf.dummyfunction("""COMPUTED_VALUE"""),"informing::code::push")</f>
        <v>informing::code::push</v>
      </c>
    </row>
    <row r="131" customFormat="false" ht="15.75" hidden="false" customHeight="false" outlineLevel="0" collapsed="false">
      <c r="A131" s="3" t="s">
        <v>941</v>
      </c>
      <c r="B131" s="3" t="str">
        <f aca="false">IF(COUNTIF(Final_CB_ML6_V5!$B$2:$B$827,A131)&gt;=1,"YES","NO")</f>
        <v>YES</v>
      </c>
      <c r="C131" s="3" t="s">
        <v>810</v>
      </c>
      <c r="D131" s="3" t="str">
        <f aca="false">IF(COUNTIF(Final_CB_ML6_V5!$C$2:$C$827,C131)&gt;=1,"YES","NO")</f>
        <v>YES</v>
      </c>
      <c r="G131" s="4"/>
      <c r="H131" s="4" t="str">
        <f aca="false">IFERROR(__xludf.dummyfunction("""COMPUTED_VALUE"""),"informing::concerns::for::introducing::more::code::(time::constraints)::(current::development::cycle)")</f>
        <v>informing::concerns::for::introducing::more::code::(time::constraints)::(current::development::cycle)</v>
      </c>
    </row>
    <row r="132" customFormat="false" ht="15.75" hidden="false" customHeight="false" outlineLevel="0" collapsed="false">
      <c r="A132" s="3" t="s">
        <v>942</v>
      </c>
      <c r="B132" s="3" t="str">
        <f aca="false">IF(COUNTIF(Final_CB_ML6_V5!$B$2:$B$827,A132)&gt;=1,"YES","NO")</f>
        <v>YES</v>
      </c>
      <c r="C132" s="3" t="s">
        <v>943</v>
      </c>
      <c r="D132" s="3" t="str">
        <f aca="false">IF(COUNTIF(Final_CB_ML6_V5!$C$2:$C$827,C132)&gt;=1,"YES","NO")</f>
        <v>YES</v>
      </c>
      <c r="G132" s="4"/>
      <c r="H132" s="4" t="str">
        <f aca="false">IFERROR(__xludf.dummyfunction("""COMPUTED_VALUE"""),"informing::duplication::of::code::in::the::presented::design::solution:::(code)")</f>
        <v>informing::duplication::of::code::in::the::presented::design::solution:::(code)</v>
      </c>
    </row>
    <row r="133" customFormat="false" ht="15.75" hidden="false" customHeight="false" outlineLevel="0" collapsed="false">
      <c r="A133" s="3" t="s">
        <v>944</v>
      </c>
      <c r="B133" s="3" t="str">
        <f aca="false">IF(COUNTIF(Final_CB_ML6_V5!$B$2:$B$827,A133)&gt;=1,"YES","NO")</f>
        <v>YES</v>
      </c>
      <c r="C133" s="3" t="s">
        <v>945</v>
      </c>
      <c r="D133" s="3" t="str">
        <f aca="false">IF(COUNTIF(Final_CB_ML6_V5!$C$2:$C$827,C133)&gt;=1,"YES","NO")</f>
        <v>YES</v>
      </c>
      <c r="G133" s="4"/>
      <c r="H133" s="4" t="str">
        <f aca="false">IFERROR(__xludf.dummyfunction("""COMPUTED_VALUE"""),"informing::filing::bug::due::to::new::functionality::that::was::enabled::thanks::to::the::BP")</f>
        <v>informing::filing::bug::due::to::new::functionality::that::was::enabled::thanks::to::the::BP</v>
      </c>
    </row>
    <row r="134" customFormat="false" ht="15.75" hidden="false" customHeight="false" outlineLevel="0" collapsed="false">
      <c r="A134" s="3" t="s">
        <v>946</v>
      </c>
      <c r="B134" s="3" t="str">
        <f aca="false">IF(COUNTIF(Final_CB_ML6_V5!$B$2:$B$827,A134)&gt;=1,"YES","NO")</f>
        <v>YES</v>
      </c>
      <c r="C134" s="3" t="s">
        <v>947</v>
      </c>
      <c r="D134" s="3" t="str">
        <f aca="false">IF(COUNTIF(Final_CB_ML6_V5!$C$2:$C$827,C134)&gt;=1,"YES","NO")</f>
        <v>YES</v>
      </c>
      <c r="G134" s="4"/>
      <c r="H134" s="4" t="str">
        <f aca="false">IFERROR(__xludf.dummyfunction("""COMPUTED_VALUE"""),"informing::functionallity::(current::code)::interaction::between::projects")</f>
        <v>informing::functionallity::(current::code)::interaction::between::projects</v>
      </c>
    </row>
    <row r="135" customFormat="false" ht="15.75" hidden="false" customHeight="false" outlineLevel="0" collapsed="false">
      <c r="A135" s="3" t="s">
        <v>948</v>
      </c>
      <c r="B135" s="3" t="str">
        <f aca="false">IF(COUNTIF(Final_CB_ML6_V5!$B$2:$B$827,A135)&gt;=1,"YES","NO")</f>
        <v>YES</v>
      </c>
      <c r="C135" s="3" t="s">
        <v>949</v>
      </c>
      <c r="D135" s="3" t="str">
        <f aca="false">IF(COUNTIF(Final_CB_ML6_V5!$C$2:$C$827,C135)&gt;=1,"YES","NO")</f>
        <v>YES</v>
      </c>
      <c r="G135" s="4"/>
      <c r="H135" s="4" t="str">
        <f aca="false">IFERROR(__xludf.dummyfunction("""COMPUTED_VALUE"""),"informing::functionallity::(current::code)::previous::related::developments")</f>
        <v>informing::functionallity::(current::code)::previous::related::developments</v>
      </c>
    </row>
    <row r="136" customFormat="false" ht="15.75" hidden="false" customHeight="false" outlineLevel="0" collapsed="false">
      <c r="A136" s="3" t="s">
        <v>950</v>
      </c>
      <c r="B136" s="3" t="str">
        <f aca="false">IF(COUNTIF(Final_CB_ML6_V5!$B$2:$B$827,A136)&gt;=1,"YES","NO")</f>
        <v>YES</v>
      </c>
      <c r="C136" s="3" t="s">
        <v>814</v>
      </c>
      <c r="D136" s="3" t="str">
        <f aca="false">IF(COUNTIF(Final_CB_ML6_V5!$C$2:$C$827,C136)&gt;=1,"YES","NO")</f>
        <v>YES</v>
      </c>
      <c r="G136" s="4"/>
      <c r="H136" s="4" t="str">
        <f aca="false">IFERROR(__xludf.dummyfunction("""COMPUTED_VALUE"""),"informing::functionallity::limitations::(current::code)::interaction::between::projects")</f>
        <v>informing::functionallity::limitations::(current::code)::interaction::between::projects</v>
      </c>
    </row>
    <row r="137" customFormat="false" ht="15.75" hidden="false" customHeight="false" outlineLevel="0" collapsed="false">
      <c r="A137" s="3" t="s">
        <v>951</v>
      </c>
      <c r="B137" s="3" t="str">
        <f aca="false">IF(COUNTIF(Final_CB_ML6_V5!$B$2:$B$827,A137)&gt;=1,"YES","NO")</f>
        <v>YES</v>
      </c>
      <c r="C137" s="3" t="s">
        <v>952</v>
      </c>
      <c r="D137" s="3" t="str">
        <f aca="false">IF(COUNTIF(Final_CB_ML6_V5!$C$2:$C$827,C137)&gt;=1,"YES","NO")</f>
        <v>YES</v>
      </c>
      <c r="G137" s="4"/>
      <c r="H137" s="4" t="str">
        <f aca="false">IFERROR(__xludf.dummyfunction("""COMPUTED_VALUE"""),"informing::good::clarification::of::design")</f>
        <v>informing::good::clarification::of::design</v>
      </c>
    </row>
    <row r="138" customFormat="false" ht="15.75" hidden="false" customHeight="false" outlineLevel="0" collapsed="false">
      <c r="A138" s="3" t="s">
        <v>953</v>
      </c>
      <c r="B138" s="3" t="str">
        <f aca="false">IF(COUNTIF(Final_CB_ML6_V5!$B$2:$B$827,A138)&gt;=1,"YES","NO")</f>
        <v>YES</v>
      </c>
      <c r="C138" s="3" t="s">
        <v>954</v>
      </c>
      <c r="D138" s="3" t="str">
        <f aca="false">IF(COUNTIF(Final_CB_ML6_V5!$C$2:$C$827,C138)&gt;=1,"YES","NO")</f>
        <v>YES</v>
      </c>
      <c r="G138" s="4"/>
      <c r="H138" s="4" t="str">
        <f aca="false">IFERROR(__xludf.dummyfunction("""COMPUTED_VALUE"""),"interaction::of::different::projects::(nova::neutron)::with::the::change::introduced::by::the:BP")</f>
        <v>interaction::of::different::projects::(nova::neutron)::with::the::change::introduced::by::the:BP</v>
      </c>
    </row>
    <row r="139" customFormat="false" ht="15.75" hidden="false" customHeight="false" outlineLevel="0" collapsed="false">
      <c r="A139" s="3" t="s">
        <v>955</v>
      </c>
      <c r="B139" s="3" t="str">
        <f aca="false">IF(COUNTIF(Final_CB_ML6_V5!$B$2:$B$827,A139)&gt;=1,"YES","NO")</f>
        <v>YES</v>
      </c>
      <c r="C139" s="3" t="s">
        <v>816</v>
      </c>
      <c r="D139" s="3" t="str">
        <f aca="false">IF(COUNTIF(Final_CB_ML6_V5!$C$2:$C$827,C139)&gt;=1,"YES","NO")</f>
        <v>YES</v>
      </c>
      <c r="G139" s="4"/>
      <c r="H139" s="4" t="str">
        <f aca="false">IFERROR(__xludf.dummyfunction("""COMPUTED_VALUE"""),"interest::on::details::about::the::alternative::enhancement::of::a::BP/feature::(external::developer)")</f>
        <v>interest::on::details::about::the::alternative::enhancement::of::a::BP/feature::(external::developer)</v>
      </c>
    </row>
    <row r="140" customFormat="false" ht="15.75" hidden="false" customHeight="false" outlineLevel="0" collapsed="false">
      <c r="A140" s="3" t="s">
        <v>956</v>
      </c>
      <c r="B140" s="3" t="str">
        <f aca="false">IF(COUNTIF(Final_CB_ML6_V5!$B$2:$B$827,A140)&gt;=1,"YES","NO")</f>
        <v>YES</v>
      </c>
      <c r="C140" s="3" t="s">
        <v>957</v>
      </c>
      <c r="D140" s="3" t="str">
        <f aca="false">IF(COUNTIF(Final_CB_ML6_V5!$C$2:$C$827,C140)&gt;=1,"YES","NO")</f>
        <v>YES</v>
      </c>
      <c r="G140" s="4"/>
      <c r="H140" s="4" t="str">
        <f aca="false">IFERROR(__xludf.dummyfunction("""COMPUTED_VALUE"""),"interest::on::working::on::related::BP::(different::project)")</f>
        <v>interest::on::working::on::related::BP::(different::project)</v>
      </c>
    </row>
    <row r="141" customFormat="false" ht="15.75" hidden="false" customHeight="false" outlineLevel="0" collapsed="false">
      <c r="A141" s="3" t="s">
        <v>958</v>
      </c>
      <c r="B141" s="3" t="str">
        <f aca="false">IF(COUNTIF(Final_CB_ML6_V5!$B$2:$B$827,A141)&gt;=1,"YES","NO")</f>
        <v>YES</v>
      </c>
      <c r="C141" s="3" t="s">
        <v>959</v>
      </c>
      <c r="D141" s="3" t="str">
        <f aca="false">IF(COUNTIF(Final_CB_ML6_V5!$C$2:$C$827,C141)&gt;=1,"YES","NO")</f>
        <v>YES</v>
      </c>
      <c r="G141" s="4"/>
      <c r="H141" s="4" t="str">
        <f aca="false">IFERROR(__xludf.dummyfunction("""COMPUTED_VALUE"""),"inviting::the::external::developer::to::internal::meetings::to::discuss::more::about::BP/feature")</f>
        <v>inviting::the::external::developer::to::internal::meetings::to::discuss::more::about::BP/feature</v>
      </c>
    </row>
    <row r="142" customFormat="false" ht="15.75" hidden="false" customHeight="false" outlineLevel="0" collapsed="false">
      <c r="A142" s="3" t="s">
        <v>960</v>
      </c>
      <c r="B142" s="3" t="str">
        <f aca="false">IF(COUNTIF(Final_CB_ML6_V5!$B$2:$B$827,A142)&gt;=1,"YES","NO")</f>
        <v>YES</v>
      </c>
      <c r="C142" s="3" t="s">
        <v>961</v>
      </c>
      <c r="D142" s="3" t="str">
        <f aca="false">IF(COUNTIF(Final_CB_ML6_V5!$C$2:$C$827,C142)&gt;=1,"YES","NO")</f>
        <v>YES</v>
      </c>
      <c r="G142" s="4"/>
      <c r="H142" s="4" t="str">
        <f aca="false">IFERROR(__xludf.dummyfunction("""COMPUTED_VALUE"""),"irrelevant")</f>
        <v>irrelevant</v>
      </c>
    </row>
    <row r="143" customFormat="false" ht="15.75" hidden="false" customHeight="false" outlineLevel="0" collapsed="false">
      <c r="A143" s="3" t="s">
        <v>962</v>
      </c>
      <c r="B143" s="3" t="str">
        <f aca="false">IF(COUNTIF(Final_CB_ML6_V5!$B$2:$B$827,A143)&gt;=1,"YES","NO")</f>
        <v>YES</v>
      </c>
      <c r="C143" s="3" t="s">
        <v>963</v>
      </c>
      <c r="D143" s="3" t="str">
        <f aca="false">IF(COUNTIF(Final_CB_ML6_V5!$C$2:$C$827,C143)&gt;=1,"YES","NO")</f>
        <v>YES</v>
      </c>
      <c r="G143" s="4"/>
      <c r="H143" s="4" t="str">
        <f aca="false">IFERROR(__xludf.dummyfunction("""COMPUTED_VALUE"""),"justifying::the::alternative::design::solution")</f>
        <v>justifying::the::alternative::design::solution</v>
      </c>
    </row>
    <row r="144" customFormat="false" ht="15.75" hidden="false" customHeight="false" outlineLevel="0" collapsed="false">
      <c r="A144" s="3" t="s">
        <v>964</v>
      </c>
      <c r="B144" s="3" t="str">
        <f aca="false">IF(COUNTIF(Final_CB_ML6_V5!$B$2:$B$827,A144)&gt;=1,"YES","NO")</f>
        <v>YES</v>
      </c>
      <c r="C144" s="3" t="s">
        <v>965</v>
      </c>
      <c r="D144" s="3" t="str">
        <f aca="false">IF(COUNTIF(Final_CB_ML6_V5!$C$2:$C$827,C144)&gt;=1,"YES","NO")</f>
        <v>YES</v>
      </c>
      <c r="G144" s="4"/>
      <c r="H144" s="4" t="str">
        <f aca="false">IFERROR(__xludf.dummyfunction("""COMPUTED_VALUE"""),"justifying::the::need::for::the::proposed::BP/feature")</f>
        <v>justifying::the::need::for::the::proposed::BP/feature</v>
      </c>
    </row>
    <row r="145" customFormat="false" ht="15.75" hidden="false" customHeight="false" outlineLevel="0" collapsed="false">
      <c r="A145" s="3" t="s">
        <v>966</v>
      </c>
      <c r="B145" s="3" t="str">
        <f aca="false">IF(COUNTIF(Final_CB_ML6_V5!$B$2:$B$827,A145)&gt;=1,"YES","NO")</f>
        <v>YES</v>
      </c>
      <c r="C145" s="3" t="s">
        <v>967</v>
      </c>
      <c r="D145" s="3" t="str">
        <f aca="false">IF(COUNTIF(Final_CB_ML6_V5!$C$2:$C$827,C145)&gt;=1,"YES","NO")</f>
        <v>YES</v>
      </c>
      <c r="G145" s="4"/>
      <c r="H145" s="4" t="str">
        <f aca="false">IFERROR(__xludf.dummyfunction("""COMPUTED_VALUE"""),"keeping::inside::project::as::it::is")</f>
        <v>keeping::inside::project::as::it::is</v>
      </c>
    </row>
    <row r="146" customFormat="false" ht="15.75" hidden="false" customHeight="false" outlineLevel="0" collapsed="false">
      <c r="A146" s="3" t="s">
        <v>968</v>
      </c>
      <c r="B146" s="3" t="str">
        <f aca="false">IF(COUNTIF(Final_CB_ML6_V5!$B$2:$B$827,A146)&gt;=1,"YES","NO")</f>
        <v>YES</v>
      </c>
      <c r="C146" s="3" t="s">
        <v>969</v>
      </c>
      <c r="D146" s="3" t="str">
        <f aca="false">IF(COUNTIF(Final_CB_ML6_V5!$C$2:$C$827,C146)&gt;=1,"YES","NO")</f>
        <v>YES</v>
      </c>
      <c r="G146" s="4"/>
      <c r="H146" s="4" t="str">
        <f aca="false">IFERROR(__xludf.dummyfunction("""COMPUTED_VALUE"""),"leverl::up::another::feature:.in::a::new::project")</f>
        <v>leverl::up::another::feature:.in::a::new::project</v>
      </c>
    </row>
    <row r="147" customFormat="false" ht="15.75" hidden="false" customHeight="false" outlineLevel="0" collapsed="false">
      <c r="A147" s="3" t="s">
        <v>970</v>
      </c>
      <c r="B147" s="3" t="str">
        <f aca="false">IF(COUNTIF(Final_CB_ML6_V5!$B$2:$B$827,A147)&gt;=1,"YES","NO")</f>
        <v>YES</v>
      </c>
      <c r="C147" s="3" t="s">
        <v>971</v>
      </c>
      <c r="D147" s="3" t="str">
        <f aca="false">IF(COUNTIF(Final_CB_ML6_V5!$C$2:$C$827,C147)&gt;=1,"YES","NO")</f>
        <v>YES</v>
      </c>
      <c r="G147" s="4"/>
      <c r="H147" s="4" t="str">
        <f aca="false">IFERROR(__xludf.dummyfunction("""COMPUTED_VALUE"""),"mentioned::other::BPs")</f>
        <v>mentioned::other::BPs</v>
      </c>
    </row>
    <row r="148" customFormat="false" ht="15.75" hidden="false" customHeight="false" outlineLevel="0" collapsed="false">
      <c r="A148" s="3" t="s">
        <v>972</v>
      </c>
      <c r="B148" s="3" t="str">
        <f aca="false">IF(COUNTIF(Final_CB_ML6_V5!$B$2:$B$827,A148)&gt;=1,"YES","NO")</f>
        <v>YES</v>
      </c>
      <c r="C148" s="3" t="s">
        <v>973</v>
      </c>
      <c r="D148" s="3" t="str">
        <f aca="false">IF(COUNTIF(Final_CB_ML6_V5!$C$2:$C$827,C148)&gt;=1,"YES","NO")</f>
        <v>YES</v>
      </c>
      <c r="G148" s="4"/>
      <c r="H148" s="4" t="str">
        <f aca="false">IFERROR(__xludf.dummyfunction("""COMPUTED_VALUE"""),"mentioned::other::reviews")</f>
        <v>mentioned::other::reviews</v>
      </c>
    </row>
    <row r="149" customFormat="false" ht="15.75" hidden="false" customHeight="false" outlineLevel="0" collapsed="false">
      <c r="A149" s="3" t="s">
        <v>974</v>
      </c>
      <c r="B149" s="3" t="str">
        <f aca="false">IF(COUNTIF(Final_CB_ML6_V5!$B$2:$B$827,A149)&gt;=1,"YES","NO")</f>
        <v>YES</v>
      </c>
      <c r="C149" s="3" t="s">
        <v>975</v>
      </c>
      <c r="D149" s="3" t="str">
        <f aca="false">IF(COUNTIF(Final_CB_ML6_V5!$C$2:$C$827,C149)&gt;=1,"YES","NO")</f>
        <v>YES</v>
      </c>
      <c r="G149" s="4"/>
      <c r="H149" s="4" t="str">
        <f aca="false">IFERROR(__xludf.dummyfunction("""COMPUTED_VALUE"""),"mentioned::the::BP::as::a::solution::to::a::need")</f>
        <v>mentioned::the::BP::as::a::solution::to::a::need</v>
      </c>
    </row>
    <row r="150" customFormat="false" ht="15.75" hidden="false" customHeight="false" outlineLevel="0" collapsed="false">
      <c r="A150" s="3" t="s">
        <v>976</v>
      </c>
      <c r="B150" s="3" t="str">
        <f aca="false">IF(COUNTIF(Final_CB_ML6_V5!$B$2:$B$827,A150)&gt;=1,"YES","NO")</f>
        <v>YES</v>
      </c>
      <c r="C150" s="3" t="s">
        <v>818</v>
      </c>
      <c r="D150" s="3" t="str">
        <f aca="false">IF(COUNTIF(Final_CB_ML6_V5!$C$2:$C$827,C150)&gt;=1,"YES","NO")</f>
        <v>YES</v>
      </c>
      <c r="G150" s="4"/>
      <c r="H150" s="4" t="str">
        <f aca="false">IFERROR(__xludf.dummyfunction("""COMPUTED_VALUE"""),"mentioned::the::BP::as::an::example::of::work::in::progress::of::the::discussed::topic")</f>
        <v>mentioned::the::BP::as::an::example::of::work::in::progress::of::the::discussed::topic</v>
      </c>
    </row>
    <row r="151" customFormat="false" ht="15.75" hidden="false" customHeight="false" outlineLevel="0" collapsed="false">
      <c r="A151" s="3" t="s">
        <v>977</v>
      </c>
      <c r="B151" s="3" t="str">
        <f aca="false">IF(COUNTIF(Final_CB_ML6_V5!$B$2:$B$827,A151)&gt;=1,"YES","NO")</f>
        <v>YES</v>
      </c>
      <c r="C151" s="3" t="s">
        <v>820</v>
      </c>
      <c r="D151" s="3" t="str">
        <f aca="false">IF(COUNTIF(Final_CB_ML6_V5!$C$2:$C$827,C151)&gt;=1,"YES","NO")</f>
        <v>YES</v>
      </c>
      <c r="G151" s="4"/>
      <c r="H151" s="4" t="str">
        <f aca="false">IFERROR(__xludf.dummyfunction("""COMPUTED_VALUE"""),"mentioned::the::BP::as::part::of::current::development::cycle")</f>
        <v>mentioned::the::BP::as::part::of::current::development::cycle</v>
      </c>
    </row>
    <row r="152" customFormat="false" ht="15.75" hidden="false" customHeight="false" outlineLevel="0" collapsed="false">
      <c r="A152" s="3" t="s">
        <v>978</v>
      </c>
      <c r="B152" s="3" t="str">
        <f aca="false">IF(COUNTIF(Final_CB_ML6_V5!$B$2:$B$827,A152)&gt;=1,"YES","NO")</f>
        <v>YES</v>
      </c>
      <c r="C152" s="3" t="s">
        <v>824</v>
      </c>
      <c r="D152" s="3" t="str">
        <f aca="false">IF(COUNTIF(Final_CB_ML6_V5!$C$2:$C$827,C152)&gt;=1,"YES","NO")</f>
        <v>YES</v>
      </c>
      <c r="G152" s="4"/>
      <c r="H152" s="4" t="str">
        <f aca="false">IFERROR(__xludf.dummyfunction("""COMPUTED_VALUE"""),"mentioned::the::BP::as::part::of::feature::parity::with::other::project")</f>
        <v>mentioned::the::BP::as::part::of::feature::parity::with::other::project</v>
      </c>
    </row>
    <row r="153" customFormat="false" ht="15.75" hidden="false" customHeight="false" outlineLevel="0" collapsed="false">
      <c r="A153" s="3" t="s">
        <v>979</v>
      </c>
      <c r="B153" s="3" t="str">
        <f aca="false">IF(COUNTIF(Final_CB_ML6_V5!$B$2:$B$827,A153)&gt;=1,"YES","NO")</f>
        <v>YES</v>
      </c>
      <c r="C153" s="3" t="s">
        <v>980</v>
      </c>
      <c r="D153" s="3" t="str">
        <f aca="false">IF(COUNTIF(Final_CB_ML6_V5!$C$2:$C$827,C153)&gt;=1,"YES","NO")</f>
        <v>YES</v>
      </c>
      <c r="G153" s="4"/>
      <c r="H153" s="4" t="str">
        <f aca="false">IFERROR(__xludf.dummyfunction("""COMPUTED_VALUE"""),"mentioned::the::change")</f>
        <v>mentioned::the::change</v>
      </c>
    </row>
    <row r="154" customFormat="false" ht="15.75" hidden="false" customHeight="false" outlineLevel="0" collapsed="false">
      <c r="A154" s="14" t="s">
        <v>981</v>
      </c>
      <c r="B154" s="3" t="str">
        <f aca="false">IF(COUNTIF(Final_CB_ML6_V5!$B$2:$B$827,A154)&gt;=1,"YES","NO")</f>
        <v>YES</v>
      </c>
      <c r="C154" s="3" t="s">
        <v>982</v>
      </c>
      <c r="D154" s="3" t="str">
        <f aca="false">IF(COUNTIF(Final_CB_ML6_V5!$C$2:$C$827,C154)&gt;=1,"YES","NO")</f>
        <v>YES</v>
      </c>
      <c r="G154" s="4"/>
      <c r="H154" s="4" t="str">
        <f aca="false">IFERROR(__xludf.dummyfunction("""COMPUTED_VALUE"""),"mentioning::conditions::to::do::a::feature::freeze::exception")</f>
        <v>mentioning::conditions::to::do::a::feature::freeze::exception</v>
      </c>
    </row>
    <row r="155" customFormat="false" ht="15.75" hidden="false" customHeight="false" outlineLevel="0" collapsed="false">
      <c r="A155" s="14" t="s">
        <v>983</v>
      </c>
      <c r="B155" s="3" t="str">
        <f aca="false">IF(COUNTIF(Final_CB_ML6_V5!$B$2:$B$827,A155)&gt;=1,"YES","NO")</f>
        <v>YES</v>
      </c>
      <c r="C155" s="3" t="s">
        <v>984</v>
      </c>
      <c r="D155" s="3" t="str">
        <f aca="false">IF(COUNTIF(Final_CB_ML6_V5!$C$2:$C$827,C155)&gt;=1,"YES","NO")</f>
        <v>YES</v>
      </c>
      <c r="G155" s="4"/>
      <c r="H155" s="4" t="str">
        <f aca="false">IFERROR(__xludf.dummyfunction("""COMPUTED_VALUE"""),"mentioning::documented::dependency::of::the::BP")</f>
        <v>mentioning::documented::dependency::of::the::BP</v>
      </c>
    </row>
    <row r="156" customFormat="false" ht="15.75" hidden="false" customHeight="false" outlineLevel="0" collapsed="false">
      <c r="B156" s="3" t="str">
        <f aca="false">IF(COUNTIF(Final_CB_ML6_V5!$B$2:$B$827,A156)&gt;=1,"YES","NO")</f>
        <v>NO</v>
      </c>
      <c r="C156" s="3" t="s">
        <v>985</v>
      </c>
      <c r="D156" s="3" t="str">
        <f aca="false">IF(COUNTIF(Final_CB_ML6_V5!$C$2:$C$827,C156)&gt;=1,"YES","NO")</f>
        <v>YES</v>
      </c>
      <c r="G156" s="4"/>
      <c r="H156" s="4" t="str">
        <f aca="false">IFERROR(__xludf.dummyfunction("""COMPUTED_VALUE"""),"mentioning::implications::to::do::a::feature::freeze::exception")</f>
        <v>mentioning::implications::to::do::a::feature::freeze::exception</v>
      </c>
    </row>
    <row r="157" customFormat="false" ht="15.75" hidden="false" customHeight="false" outlineLevel="0" collapsed="false">
      <c r="B157" s="3" t="str">
        <f aca="false">IF(COUNTIF(Final_CB_ML6_V5!$B$2:$B$827,A157)&gt;=1,"YES","NO")</f>
        <v>NO</v>
      </c>
      <c r="C157" s="3" t="s">
        <v>986</v>
      </c>
      <c r="D157" s="3" t="str">
        <f aca="false">IF(COUNTIF(Final_CB_ML6_V5!$C$2:$C$827,C157)&gt;=1,"YES","NO")</f>
        <v>YES</v>
      </c>
      <c r="G157" s="4"/>
      <c r="H157" s="4" t="str">
        <f aca="false">IFERROR(__xludf.dummyfunction("""COMPUTED_VALUE"""),"mentioning::importance::of::BP::in::release::version")</f>
        <v>mentioning::importance::of::BP::in::release::version</v>
      </c>
    </row>
    <row r="158" customFormat="false" ht="15.75" hidden="false" customHeight="false" outlineLevel="0" collapsed="false">
      <c r="B158" s="3" t="str">
        <f aca="false">IF(COUNTIF(Final_CB_ML6_V5!$B$2:$B$827,A158)&gt;=1,"YES","NO")</f>
        <v>NO</v>
      </c>
      <c r="C158" s="3" t="s">
        <v>987</v>
      </c>
      <c r="D158" s="3" t="str">
        <f aca="false">IF(COUNTIF(Final_CB_ML6_V5!$C$2:$C$827,C158)&gt;=1,"YES","NO")</f>
        <v>YES</v>
      </c>
      <c r="G158" s="4"/>
      <c r="H158" s="4" t="str">
        <f aca="false">IFERROR(__xludf.dummyfunction("""COMPUTED_VALUE"""),"mentioning::status::of::version::after::current::release::cycle")</f>
        <v>mentioning::status::of::version::after::current::release::cycle</v>
      </c>
    </row>
    <row r="159" customFormat="false" ht="15.75" hidden="false" customHeight="false" outlineLevel="0" collapsed="false">
      <c r="B159" s="3" t="str">
        <f aca="false">IF(COUNTIF(Final_CB_ML6_V5!$B$2:$B$827,A159)&gt;=1,"YES","NO")</f>
        <v>NO</v>
      </c>
      <c r="C159" s="3" t="s">
        <v>828</v>
      </c>
      <c r="D159" s="3" t="str">
        <f aca="false">IF(COUNTIF(Final_CB_ML6_V5!$C$2:$C$827,C159)&gt;=1,"YES","NO")</f>
        <v>YES</v>
      </c>
      <c r="G159" s="4"/>
      <c r="H159" s="4" t="str">
        <f aca="false">IFERROR(__xludf.dummyfunction("""COMPUTED_VALUE"""),"mentioning::that::the::existing::BP/feature::partially::covers::some::of::the::new::requested::features")</f>
        <v>mentioning::that::the::existing::BP/feature::partially::covers::some::of::the::new::requested::features</v>
      </c>
    </row>
    <row r="160" customFormat="false" ht="15.75" hidden="false" customHeight="false" outlineLevel="0" collapsed="false">
      <c r="B160" s="3" t="str">
        <f aca="false">IF(COUNTIF(Final_CB_ML6_V5!$B$2:$B$827,A160)&gt;=1,"YES","NO")</f>
        <v>NO</v>
      </c>
      <c r="C160" s="3" t="s">
        <v>988</v>
      </c>
      <c r="D160" s="3" t="str">
        <f aca="false">IF(COUNTIF(Final_CB_ML6_V5!$C$2:$C$827,C160)&gt;=1,"YES","NO")</f>
        <v>YES</v>
      </c>
      <c r="G160" s="4"/>
      <c r="H160" s="4" t="str">
        <f aca="false">IFERROR(__xludf.dummyfunction("""COMPUTED_VALUE"""),"new::features::proposed::on::top::of::the::BP/feature")</f>
        <v>new::features::proposed::on::top::of::the::BP/feature</v>
      </c>
    </row>
    <row r="161" customFormat="false" ht="15.75" hidden="false" customHeight="false" outlineLevel="0" collapsed="false">
      <c r="B161" s="3" t="str">
        <f aca="false">IF(COUNTIF(Final_CB_ML6_V5!$B$2:$B$827,A161)&gt;=1,"YES","NO")</f>
        <v>NO</v>
      </c>
      <c r="C161" s="3" t="s">
        <v>989</v>
      </c>
      <c r="D161" s="3" t="str">
        <f aca="false">IF(COUNTIF(Final_CB_ML6_V5!$C$2:$C$827,C161)&gt;=1,"YES","NO")</f>
        <v>YES</v>
      </c>
      <c r="G161" s="4"/>
      <c r="H161" s="4" t="str">
        <f aca="false">IFERROR(__xludf.dummyfunction("""COMPUTED_VALUE"""),"new::functionality::that::was::enabled::thanks::to::the::BP")</f>
        <v>new::functionality::that::was::enabled::thanks::to::the::BP</v>
      </c>
    </row>
    <row r="162" customFormat="false" ht="15.75" hidden="false" customHeight="false" outlineLevel="0" collapsed="false">
      <c r="B162" s="3" t="str">
        <f aca="false">IF(COUNTIF(Final_CB_ML6_V5!$B$2:$B$827,A162)&gt;=1,"YES","NO")</f>
        <v>NO</v>
      </c>
      <c r="C162" s="3" t="s">
        <v>990</v>
      </c>
      <c r="D162" s="3" t="str">
        <f aca="false">IF(COUNTIF(Final_CB_ML6_V5!$C$2:$C$827,C162)&gt;=1,"YES","NO")</f>
        <v>YES</v>
      </c>
      <c r="G162" s="4"/>
      <c r="H162" s="4" t="str">
        <f aca="false">IFERROR(__xludf.dummyfunction("""COMPUTED_VALUE"""),"not::having::the::proposed::BP/feature::is::the::cause::of::a::bug")</f>
        <v>not::having::the::proposed::BP/feature::is::the::cause::of::a::bug</v>
      </c>
    </row>
    <row r="163" customFormat="false" ht="15.75" hidden="false" customHeight="false" outlineLevel="0" collapsed="false">
      <c r="B163" s="3" t="str">
        <f aca="false">IF(COUNTIF(Final_CB_ML6_V5!$B$2:$B$827,A163)&gt;=1,"YES","NO")</f>
        <v>NO</v>
      </c>
      <c r="C163" s="3" t="s">
        <v>991</v>
      </c>
      <c r="D163" s="3" t="str">
        <f aca="false">IF(COUNTIF(Final_CB_ML6_V5!$C$2:$C$827,C163)&gt;=1,"YES","NO")</f>
        <v>YES</v>
      </c>
      <c r="G163" s="4"/>
      <c r="H163" s="4" t="str">
        <f aca="false">IFERROR(__xludf.dummyfunction("""COMPUTED_VALUE"""),"offering::help::to::implement::test")</f>
        <v>offering::help::to::implement::test</v>
      </c>
    </row>
    <row r="164" customFormat="false" ht="15.75" hidden="false" customHeight="false" outlineLevel="0" collapsed="false">
      <c r="B164" s="3" t="str">
        <f aca="false">IF(COUNTIF(Final_CB_ML6_V5!$B$2:$B$827,A164)&gt;=1,"YES","NO")</f>
        <v>NO</v>
      </c>
      <c r="C164" s="3" t="s">
        <v>992</v>
      </c>
      <c r="D164" s="3" t="str">
        <f aca="false">IF(COUNTIF(Final_CB_ML6_V5!$C$2:$C$827,C164)&gt;=1,"YES","NO")</f>
        <v>YES</v>
      </c>
      <c r="G164" s="4"/>
      <c r="H164" s="4" t="str">
        <f aca="false">IFERROR(__xludf.dummyfunction("""COMPUTED_VALUE"""),"other::project::that::can::be::benefited::from::the::BP/feature")</f>
        <v>other::project::that::can::be::benefited::from::the::BP/feature</v>
      </c>
    </row>
    <row r="165" customFormat="false" ht="15.75" hidden="false" customHeight="false" outlineLevel="0" collapsed="false">
      <c r="B165" s="3" t="str">
        <f aca="false">IF(COUNTIF(Final_CB_ML6_V5!$B$2:$B$827,A165)&gt;=1,"YES","NO")</f>
        <v>NO</v>
      </c>
      <c r="C165" s="3" t="s">
        <v>993</v>
      </c>
      <c r="D165" s="3" t="str">
        <f aca="false">IF(COUNTIF(Final_CB_ML6_V5!$C$2:$C$827,C165)&gt;=1,"YES","NO")</f>
        <v>YES</v>
      </c>
      <c r="G165" s="4"/>
      <c r="H165" s="4" t="str">
        <f aca="false">IFERROR(__xludf.dummyfunction("""COMPUTED_VALUE"""),"overlap::and::differences::between::similar::functionalities::between::two::development::process::(nova::and::external::developer)")</f>
        <v>overlap::and::differences::between::similar::functionalities::between::two::development::process::(nova::and::external::developer)</v>
      </c>
    </row>
    <row r="166" customFormat="false" ht="15.75" hidden="false" customHeight="false" outlineLevel="0" collapsed="false">
      <c r="B166" s="3" t="str">
        <f aca="false">IF(COUNTIF(Final_CB_ML6_V5!$B$2:$B$827,A166)&gt;=1,"YES","NO")</f>
        <v>NO</v>
      </c>
      <c r="C166" s="3" t="s">
        <v>994</v>
      </c>
      <c r="D166" s="3" t="str">
        <f aca="false">IF(COUNTIF(Final_CB_ML6_V5!$C$2:$C$827,C166)&gt;=1,"YES","NO")</f>
        <v>YES</v>
      </c>
      <c r="G166" s="4"/>
      <c r="H166" s="4" t="str">
        <f aca="false">IFERROR(__xludf.dummyfunction("""COMPUTED_VALUE"""),"possible::reasons::why::it::has::not::been::merged::(conflict::heavy)")</f>
        <v>possible::reasons::why::it::has::not::been::merged::(conflict::heavy)</v>
      </c>
    </row>
    <row r="167" customFormat="false" ht="15.75" hidden="false" customHeight="false" outlineLevel="0" collapsed="false">
      <c r="B167" s="3" t="str">
        <f aca="false">IF(COUNTIF(Final_CB_ML6_V5!$B$2:$B$827,A167)&gt;=1,"YES","NO")</f>
        <v>NO</v>
      </c>
      <c r="C167" s="3" t="s">
        <v>995</v>
      </c>
      <c r="D167" s="3" t="str">
        <f aca="false">IF(COUNTIF(Final_CB_ML6_V5!$C$2:$C$827,C167)&gt;=1,"YES","NO")</f>
        <v>YES</v>
      </c>
      <c r="G167" s="4"/>
      <c r="H167" s="4" t="str">
        <f aca="false">IFERROR(__xludf.dummyfunction("""COMPUTED_VALUE"""),"precendence::of::the::BP/feature::in::another::development::process")</f>
        <v>precendence::of::the::BP/feature::in::another::development::process</v>
      </c>
    </row>
    <row r="168" customFormat="false" ht="15.75" hidden="false" customHeight="false" outlineLevel="0" collapsed="false">
      <c r="B168" s="3" t="str">
        <f aca="false">IF(COUNTIF(Final_CB_ML6_V5!$B$2:$B$827,A168)&gt;=1,"YES","NO")</f>
        <v>NO</v>
      </c>
      <c r="C168" s="3" t="s">
        <v>996</v>
      </c>
      <c r="D168" s="3" t="str">
        <f aca="false">IF(COUNTIF(Final_CB_ML6_V5!$C$2:$C$827,C168)&gt;=1,"YES","NO")</f>
        <v>YES</v>
      </c>
      <c r="G168" s="4"/>
      <c r="H168" s="4" t="str">
        <f aca="false">IFERROR(__xludf.dummyfunction("""COMPUTED_VALUE"""),"problems::encounter::while:.depeloving::BP/feature")</f>
        <v>problems::encounter::while:.depeloving::BP/feature</v>
      </c>
    </row>
    <row r="169" customFormat="false" ht="15.75" hidden="false" customHeight="false" outlineLevel="0" collapsed="false">
      <c r="B169" s="3" t="str">
        <f aca="false">IF(COUNTIF(Final_CB_ML6_V5!$B$2:$B$827,A169)&gt;=1,"YES","NO")</f>
        <v>NO</v>
      </c>
      <c r="C169" s="3" t="s">
        <v>997</v>
      </c>
      <c r="D169" s="3" t="str">
        <f aca="false">IF(COUNTIF(Final_CB_ML6_V5!$C$2:$C$827,C169)&gt;=1,"YES","NO")</f>
        <v>YES</v>
      </c>
      <c r="G169" s="4"/>
      <c r="H169" s="4" t="str">
        <f aca="false">IFERROR(__xludf.dummyfunction("""COMPUTED_VALUE"""),"proposed::alternative::design::solution::(with::code)")</f>
        <v>proposed::alternative::design::solution::(with::code)</v>
      </c>
    </row>
    <row r="170" customFormat="false" ht="15.75" hidden="false" customHeight="false" outlineLevel="0" collapsed="false">
      <c r="B170" s="3" t="str">
        <f aca="false">IF(COUNTIF(Final_CB_ML6_V5!$B$2:$B$827,A170)&gt;=1,"YES","NO")</f>
        <v>NO</v>
      </c>
      <c r="C170" s="3" t="s">
        <v>998</v>
      </c>
      <c r="D170" s="3" t="str">
        <f aca="false">IF(COUNTIF(Final_CB_ML6_V5!$C$2:$C$827,C170)&gt;=1,"YES","NO")</f>
        <v>YES</v>
      </c>
      <c r="G170" s="4"/>
      <c r="H170" s="4" t="str">
        <f aca="false">IFERROR(__xludf.dummyfunction("""COMPUTED_VALUE"""),"proposing::bug::solution::(text)")</f>
        <v>proposing::bug::solution::(text)</v>
      </c>
    </row>
    <row r="171" customFormat="false" ht="15.75" hidden="false" customHeight="false" outlineLevel="0" collapsed="false">
      <c r="B171" s="3" t="str">
        <f aca="false">IF(COUNTIF(Final_CB_ML6_V5!$B$2:$B$827,A171)&gt;=1,"YES","NO")</f>
        <v>NO</v>
      </c>
      <c r="C171" s="3" t="s">
        <v>838</v>
      </c>
      <c r="D171" s="3" t="str">
        <f aca="false">IF(COUNTIF(Final_CB_ML6_V5!$C$2:$C$827,C171)&gt;=1,"YES","NO")</f>
        <v>YES</v>
      </c>
      <c r="G171" s="4"/>
      <c r="H171" s="4" t="str">
        <f aca="false">IFERROR(__xludf.dummyfunction("""COMPUTED_VALUE"""),"proposing::development::project::(as::API)")</f>
        <v>proposing::development::project::(as::API)</v>
      </c>
    </row>
    <row r="172" customFormat="false" ht="15.75" hidden="false" customHeight="false" outlineLevel="0" collapsed="false">
      <c r="B172" s="3" t="str">
        <f aca="false">IF(COUNTIF(Final_CB_ML6_V5!$B$2:$B$827,A172)&gt;=1,"YES","NO")</f>
        <v>NO</v>
      </c>
      <c r="C172" s="3" t="s">
        <v>999</v>
      </c>
      <c r="D172" s="3" t="str">
        <f aca="false">IF(COUNTIF(Final_CB_ML6_V5!$C$2:$C$827,C172)&gt;=1,"YES","NO")</f>
        <v>YES</v>
      </c>
      <c r="E172" s="3" t="s">
        <v>1000</v>
      </c>
      <c r="G172" s="4"/>
      <c r="H172" s="4" t="str">
        <f aca="false">IFERROR(__xludf.dummyfunction("""COMPUTED_VALUE"""),"proposing::keep::project::as::experimental::project")</f>
        <v>proposing::keep::project::as::experimental::project</v>
      </c>
    </row>
    <row r="173" customFormat="false" ht="15.75" hidden="false" customHeight="false" outlineLevel="0" collapsed="false">
      <c r="B173" s="3" t="str">
        <f aca="false">IF(COUNTIF(Final_CB_ML6_V5!$B$2:$B$827,A173)&gt;=1,"YES","NO")</f>
        <v>NO</v>
      </c>
      <c r="C173" s="3" t="s">
        <v>840</v>
      </c>
      <c r="D173" s="3" t="str">
        <f aca="false">IF(COUNTIF(Final_CB_ML6_V5!$C$2:$C$827,C173)&gt;=1,"YES","NO")</f>
        <v>YES</v>
      </c>
      <c r="G173" s="4"/>
      <c r="H173" s="4" t="str">
        <f aca="false">IFERROR(__xludf.dummyfunction("""COMPUTED_VALUE"""),"proposing::not::allowing::the::BP/feature::FFE::instead::moving::the::changes::to::next::iteration")</f>
        <v>proposing::not::allowing::the::BP/feature::FFE::instead::moving::the::changes::to::next::iteration</v>
      </c>
    </row>
    <row r="174" customFormat="false" ht="15.75" hidden="false" customHeight="false" outlineLevel="0" collapsed="false">
      <c r="B174" s="3" t="str">
        <f aca="false">IF(COUNTIF(Final_CB_ML6_V5!$B$2:$B$827,A174)&gt;=1,"YES","NO")</f>
        <v>NO</v>
      </c>
      <c r="C174" s="3" t="s">
        <v>1001</v>
      </c>
      <c r="D174" s="3" t="str">
        <f aca="false">IF(COUNTIF(Final_CB_ML6_V5!$C$2:$C$827,C174)&gt;=1,"YES","NO")</f>
        <v>YES</v>
      </c>
      <c r="G174" s="4"/>
      <c r="H174" s="4" t="str">
        <f aca="false">IFERROR(__xludf.dummyfunction("""COMPUTED_VALUE"""),"proposing::reaching::out::users::about::the::usage::of::a::functionality")</f>
        <v>proposing::reaching::out::users::about::the::usage::of::a::functionality</v>
      </c>
    </row>
    <row r="175" customFormat="false" ht="15.75" hidden="false" customHeight="false" outlineLevel="0" collapsed="false">
      <c r="B175" s="3" t="str">
        <f aca="false">IF(COUNTIF(Final_CB_ML6_V5!$B$2:$B$827,A175)&gt;=1,"YES","NO")</f>
        <v>NO</v>
      </c>
      <c r="C175" s="3" t="s">
        <v>1002</v>
      </c>
      <c r="D175" s="3" t="str">
        <f aca="false">IF(COUNTIF(Final_CB_ML6_V5!$C$2:$C$827,C175)&gt;=1,"YES","NO")</f>
        <v>YES</v>
      </c>
      <c r="G175" s="4"/>
      <c r="H175" s="4" t="str">
        <f aca="false">IFERROR(__xludf.dummyfunction("""COMPUTED_VALUE"""),"propossing::design::for::interaction::of::different::projects::(nova::neutron)::due::to::change::introduced::by::the:BP")</f>
        <v>propossing::design::for::interaction::of::different::projects::(nova::neutron)::due::to::change::introduced::by::the:BP</v>
      </c>
    </row>
    <row r="176" customFormat="false" ht="15.75" hidden="false" customHeight="false" outlineLevel="0" collapsed="false">
      <c r="B176" s="3" t="str">
        <f aca="false">IF(COUNTIF(Final_CB_ML6_V5!$B$2:$B$827,A176)&gt;=1,"YES","NO")</f>
        <v>NO</v>
      </c>
      <c r="C176" s="3" t="s">
        <v>1003</v>
      </c>
      <c r="D176" s="3" t="str">
        <f aca="false">IF(COUNTIF(Final_CB_ML6_V5!$C$2:$C$827,C176)&gt;=1,"YES","NO")</f>
        <v>YES</v>
      </c>
      <c r="G176" s="4"/>
      <c r="H176" s="4" t="str">
        <f aca="false">IFERROR(__xludf.dummyfunction("""COMPUTED_VALUE"""),"pros::design::choice::to::keep::project::inside::nova::(user::importance)")</f>
        <v>pros::design::choice::to::keep::project::inside::nova::(user::importance)</v>
      </c>
    </row>
    <row r="177" customFormat="false" ht="15.75" hidden="false" customHeight="false" outlineLevel="0" collapsed="false">
      <c r="B177" s="3" t="str">
        <f aca="false">IF(COUNTIF(Final_CB_ML6_V5!$B$2:$B$827,A177)&gt;=1,"YES","NO")</f>
        <v>NO</v>
      </c>
      <c r="C177" s="3" t="s">
        <v>1004</v>
      </c>
      <c r="D177" s="3" t="str">
        <f aca="false">IF(COUNTIF(Final_CB_ML6_V5!$C$2:$C$827,C177)&gt;=1,"YES","NO")</f>
        <v>YES</v>
      </c>
      <c r="G177" s="4"/>
      <c r="H177" s="4" t="str">
        <f aca="false">IFERROR(__xludf.dummyfunction("""COMPUTED_VALUE"""),"providing::a::clarification::for::proposed::a::solution::to::bug::due::to::new::functionality::that::was::enabled::thanks::to::the::BP")</f>
        <v>providing::a::clarification::for::proposed::a::solution::to::bug::due::to::new::functionality::that::was::enabled::thanks::to::the::BP</v>
      </c>
    </row>
    <row r="178" customFormat="false" ht="15.75" hidden="false" customHeight="false" outlineLevel="0" collapsed="false">
      <c r="B178" s="3" t="str">
        <f aca="false">IF(COUNTIF(Final_CB_ML6_V5!$B$2:$B$827,A178)&gt;=1,"YES","NO")</f>
        <v>NO</v>
      </c>
      <c r="C178" s="3" t="s">
        <v>867</v>
      </c>
      <c r="D178" s="3" t="str">
        <f aca="false">IF(COUNTIF(Final_CB_ML6_V5!$C$2:$C$827,C178)&gt;=1,"YES","NO")</f>
        <v>YES</v>
      </c>
      <c r="G178" s="4"/>
      <c r="H178" s="4" t="str">
        <f aca="false">IFERROR(__xludf.dummyfunction("""COMPUTED_VALUE"""),"providing::advice::development::process::(meetings)")</f>
        <v>providing::advice::development::process::(meetings)</v>
      </c>
    </row>
    <row r="179" customFormat="false" ht="15.75" hidden="false" customHeight="false" outlineLevel="0" collapsed="false">
      <c r="B179" s="3" t="str">
        <f aca="false">IF(COUNTIF(Final_CB_ML6_V5!$B$2:$B$827,A179)&gt;=1,"YES","NO")</f>
        <v>NO</v>
      </c>
      <c r="C179" s="3" t="s">
        <v>1005</v>
      </c>
      <c r="D179" s="3" t="str">
        <f aca="false">IF(COUNTIF(Final_CB_ML6_V5!$C$2:$C$827,C179)&gt;=1,"YES","NO")</f>
        <v>YES</v>
      </c>
      <c r="G179" s="4"/>
      <c r="H179" s="4" t="str">
        <f aca="false">IFERROR(__xludf.dummyfunction("""COMPUTED_VALUE"""),"providing::advice::development::process::(organizing::developers::groups)")</f>
        <v>providing::advice::development::process::(organizing::developers::groups)</v>
      </c>
    </row>
    <row r="180" customFormat="false" ht="15.75" hidden="false" customHeight="false" outlineLevel="0" collapsed="false">
      <c r="B180" s="3" t="str">
        <f aca="false">IF(COUNTIF(Final_CB_ML6_V5!$B$2:$B$827,A180)&gt;=1,"YES","NO")</f>
        <v>NO</v>
      </c>
      <c r="C180" s="3" t="s">
        <v>1006</v>
      </c>
      <c r="D180" s="3" t="str">
        <f aca="false">IF(COUNTIF(Final_CB_ML6_V5!$C$2:$C$827,C180)&gt;=1,"YES","NO")</f>
        <v>YES</v>
      </c>
      <c r="G180" s="4"/>
      <c r="H180" s="4" t="str">
        <f aca="false">IFERROR(__xludf.dummyfunction("""COMPUTED_VALUE"""),"providing::advice::development::process::(tests::move::them::out:nova)")</f>
        <v>providing::advice::development::process::(tests::move::them::out:nova)</v>
      </c>
    </row>
    <row r="181" customFormat="false" ht="15.75" hidden="false" customHeight="false" outlineLevel="0" collapsed="false">
      <c r="B181" s="3" t="str">
        <f aca="false">IF(COUNTIF(Final_CB_ML6_V5!$B$2:$B$827,A181)&gt;=1,"YES","NO")</f>
        <v>NO</v>
      </c>
      <c r="C181" s="3" t="s">
        <v>1007</v>
      </c>
      <c r="D181" s="3" t="str">
        <f aca="false">IF(COUNTIF(Final_CB_ML6_V5!$C$2:$C$827,C181)&gt;=1,"YES","NO")</f>
        <v>YES</v>
      </c>
      <c r="G181" s="4"/>
      <c r="H181" s="4" t="str">
        <f aca="false">IFERROR(__xludf.dummyfunction("""COMPUTED_VALUE"""),"providing::advice::development::process::(tests::process)")</f>
        <v>providing::advice::development::process::(tests::process)</v>
      </c>
    </row>
    <row r="182" customFormat="false" ht="15.75" hidden="false" customHeight="false" outlineLevel="0" collapsed="false">
      <c r="B182" s="3" t="str">
        <f aca="false">IF(COUNTIF(Final_CB_ML6_V5!$B$2:$B$827,A182)&gt;=1,"YES","NO")</f>
        <v>NO</v>
      </c>
      <c r="C182" s="3" t="s">
        <v>875</v>
      </c>
      <c r="D182" s="3" t="str">
        <f aca="false">IF(COUNTIF(Final_CB_ML6_V5!$C$2:$C$827,C182)&gt;=1,"YES","NO")</f>
        <v>YES</v>
      </c>
      <c r="G182" s="4"/>
      <c r="H182" s="4" t="str">
        <f aca="false">IFERROR(__xludf.dummyfunction("""COMPUTED_VALUE"""),"providing::clarification::about::conditions::to::change::status::of::project::(removing:.label::experimental)::which::holds::the::BP")</f>
        <v>providing::clarification::about::conditions::to::change::status::of::project::(removing:.label::experimental)::which::holds::the::BP</v>
      </c>
    </row>
    <row r="183" customFormat="false" ht="15.75" hidden="false" customHeight="false" outlineLevel="0" collapsed="false">
      <c r="B183" s="3" t="str">
        <f aca="false">IF(COUNTIF(Final_CB_ML6_V5!$B$2:$B$827,A183)&gt;=1,"YES","NO")</f>
        <v>NO</v>
      </c>
      <c r="C183" s="3" t="s">
        <v>1008</v>
      </c>
      <c r="D183" s="3" t="str">
        <f aca="false">IF(COUNTIF(Final_CB_ML6_V5!$C$2:$C$827,C183)&gt;=1,"YES","NO")</f>
        <v>YES</v>
      </c>
      <c r="G183" s="4"/>
      <c r="H183" s="4" t="str">
        <f aca="false">IFERROR(__xludf.dummyfunction("""COMPUTED_VALUE"""),"providing::clarification::about::cons::design::choice::(hybrid::compute::nodes)")</f>
        <v>providing::clarification::about::cons::design::choice::(hybrid::compute::nodes)</v>
      </c>
    </row>
    <row r="184" customFormat="false" ht="15.75" hidden="false" customHeight="false" outlineLevel="0" collapsed="false">
      <c r="B184" s="3" t="str">
        <f aca="false">IF(COUNTIF(Final_CB_ML6_V5!$B$2:$B$827,A184)&gt;=1,"YES","NO")</f>
        <v>NO</v>
      </c>
      <c r="C184" s="3" t="s">
        <v>1009</v>
      </c>
      <c r="D184" s="3" t="str">
        <f aca="false">IF(COUNTIF(Final_CB_ML6_V5!$C$2:$C$827,C184)&gt;=1,"YES","NO")</f>
        <v>YES</v>
      </c>
      <c r="G184" s="4"/>
      <c r="H184" s="4" t="str">
        <f aca="false">IFERROR(__xludf.dummyfunction("""COMPUTED_VALUE"""),"providing::clarification::about::design::proposal::for::each::project")</f>
        <v>providing::clarification::about::design::proposal::for::each::project</v>
      </c>
    </row>
    <row r="185" customFormat="false" ht="15.75" hidden="false" customHeight="false" outlineLevel="0" collapsed="false">
      <c r="B185" s="3" t="str">
        <f aca="false">IF(COUNTIF(Final_CB_ML6_V5!$B$2:$B$827,A185)&gt;=1,"YES","NO")</f>
        <v>NO</v>
      </c>
      <c r="C185" s="3" t="s">
        <v>1010</v>
      </c>
      <c r="D185" s="3" t="str">
        <f aca="false">IF(COUNTIF(Final_CB_ML6_V5!$C$2:$C$827,C185)&gt;=1,"YES","NO")</f>
        <v>YES</v>
      </c>
      <c r="G185" s="4"/>
      <c r="H185" s="4" t="str">
        <f aca="false">IFERROR(__xludf.dummyfunction("""COMPUTED_VALUE"""),"providing::clarification::about::functionallity::(how::to::enable::in::the::future)")</f>
        <v>providing::clarification::about::functionallity::(how::to::enable::in::the::future)</v>
      </c>
    </row>
    <row r="186" customFormat="false" ht="15.75" hidden="false" customHeight="false" outlineLevel="0" collapsed="false">
      <c r="B186" s="3" t="str">
        <f aca="false">IF(COUNTIF(Final_CB_ML6_V5!$B$2:$B$827,A186)&gt;=1,"YES","NO")</f>
        <v>NO</v>
      </c>
      <c r="C186" s="3" t="s">
        <v>1011</v>
      </c>
      <c r="D186" s="3" t="str">
        <f aca="false">IF(COUNTIF(Final_CB_ML6_V5!$C$2:$C$827,C186)&gt;=1,"YES","NO")</f>
        <v>YES</v>
      </c>
      <c r="G186" s="4"/>
      <c r="H186" s="4" t="str">
        <f aca="false">IFERROR(__xludf.dummyfunction("""COMPUTED_VALUE"""),"providing::clarification::about::functionallity::(how::to::enable::in::the::future)::design")</f>
        <v>providing::clarification::about::functionallity::(how::to::enable::in::the::future)::design</v>
      </c>
    </row>
    <row r="187" customFormat="false" ht="15.75" hidden="false" customHeight="false" outlineLevel="0" collapsed="false">
      <c r="B187" s="3" t="str">
        <f aca="false">IF(COUNTIF(Final_CB_ML6_V5!$B$2:$B$827,A187)&gt;=1,"YES","NO")</f>
        <v>NO</v>
      </c>
      <c r="C187" s="3" t="s">
        <v>1012</v>
      </c>
      <c r="D187" s="3" t="str">
        <f aca="false">IF(COUNTIF(Final_CB_ML6_V5!$C$2:$C$827,C187)&gt;=1,"YES","NO")</f>
        <v>YES</v>
      </c>
      <c r="G187" s="4"/>
      <c r="H187" s="4" t="str">
        <f aca="false">IFERROR(__xludf.dummyfunction("""COMPUTED_VALUE"""),"providing::clarification::about::more::details::of::the::design::choice::(flow)")</f>
        <v>providing::clarification::about::more::details::of::the::design::choice::(flow)</v>
      </c>
    </row>
    <row r="188" customFormat="false" ht="15.75" hidden="false" customHeight="false" outlineLevel="0" collapsed="false">
      <c r="B188" s="3" t="str">
        <f aca="false">IF(COUNTIF(Final_CB_ML6_V5!$B$2:$B$827,A188)&gt;=1,"YES","NO")</f>
        <v>NO</v>
      </c>
      <c r="C188" s="3" t="s">
        <v>1013</v>
      </c>
      <c r="D188" s="3" t="str">
        <f aca="false">IF(COUNTIF(Final_CB_ML6_V5!$C$2:$C$827,C188)&gt;=1,"YES","NO")</f>
        <v>YES</v>
      </c>
      <c r="G188" s="4"/>
      <c r="H188" s="4" t="str">
        <f aca="false">IFERROR(__xludf.dummyfunction("""COMPUTED_VALUE"""),"providing::clarification::about::solution::design::(components::of::the::solution)")</f>
        <v>providing::clarification::about::solution::design::(components::of::the::solution)</v>
      </c>
    </row>
    <row r="189" customFormat="false" ht="15.75" hidden="false" customHeight="false" outlineLevel="0" collapsed="false">
      <c r="B189" s="3" t="str">
        <f aca="false">IF(COUNTIF(Final_CB_ML6_V5!$B$2:$B$827,A189)&gt;=1,"YES","NO")</f>
        <v>NO</v>
      </c>
      <c r="C189" s="3" t="s">
        <v>1014</v>
      </c>
      <c r="D189" s="3" t="str">
        <f aca="false">IF(COUNTIF(Final_CB_ML6_V5!$C$2:$C$827,C189)&gt;=1,"YES","NO")</f>
        <v>YES</v>
      </c>
      <c r="G189" s="4"/>
      <c r="H189" s="4" t="str">
        <f aca="false">IFERROR(__xludf.dummyfunction("""COMPUTED_VALUE"""),"providing::clarification::about::status::of::project::(removing:.label::experimental)::which::holds::the::BP")</f>
        <v>providing::clarification::about::status::of::project::(removing:.label::experimental)::which::holds::the::BP</v>
      </c>
    </row>
    <row r="190" customFormat="false" ht="15.75" hidden="false" customHeight="false" outlineLevel="0" collapsed="false">
      <c r="B190" s="3" t="str">
        <f aca="false">IF(COUNTIF(Final_CB_ML6_V5!$B$2:$B$827,A190)&gt;=1,"YES","NO")</f>
        <v>NO</v>
      </c>
      <c r="C190" s="3" t="s">
        <v>1015</v>
      </c>
      <c r="D190" s="3" t="str">
        <f aca="false">IF(COUNTIF(Final_CB_ML6_V5!$C$2:$C$827,C190)&gt;=1,"YES","NO")</f>
        <v>YES</v>
      </c>
      <c r="G190" s="4"/>
      <c r="H190" s="4" t="str">
        <f aca="false">IFERROR(__xludf.dummyfunction("""COMPUTED_VALUE"""),"providing::clarification::interaction::of::different::projects::(nova::neutron)::with::the::change::introduced::by::the:BP")</f>
        <v>providing::clarification::interaction::of::different::projects::(nova::neutron)::with::the::change::introduced::by::the:BP</v>
      </c>
    </row>
    <row r="191" customFormat="false" ht="15.75" hidden="false" customHeight="false" outlineLevel="0" collapsed="false">
      <c r="B191" s="3" t="str">
        <f aca="false">IF(COUNTIF(Final_CB_ML6_V5!$B$2:$B$827,A191)&gt;=1,"YES","NO")</f>
        <v>NO</v>
      </c>
      <c r="C191" s="3" t="s">
        <v>881</v>
      </c>
      <c r="D191" s="3" t="str">
        <f aca="false">IF(COUNTIF(Final_CB_ML6_V5!$C$2:$C$827,C191)&gt;=1,"YES","NO")</f>
        <v>YES</v>
      </c>
      <c r="G191" s="4"/>
      <c r="H191" s="4" t="str">
        <f aca="false">IFERROR(__xludf.dummyfunction("""COMPUTED_VALUE"""),"providing::clarifications::about::bug::trace::implications")</f>
        <v>providing::clarifications::about::bug::trace::implications</v>
      </c>
    </row>
    <row r="192" customFormat="false" ht="15.75" hidden="false" customHeight="false" outlineLevel="0" collapsed="false">
      <c r="B192" s="3" t="str">
        <f aca="false">IF(COUNTIF(Final_CB_ML6_V5!$B$2:$B$827,A192)&gt;=1,"YES","NO")</f>
        <v>NO</v>
      </c>
      <c r="C192" s="3" t="s">
        <v>1016</v>
      </c>
      <c r="D192" s="3" t="str">
        <f aca="false">IF(COUNTIF(Final_CB_ML6_V5!$C$2:$C$827,C192)&gt;=1,"YES","NO")</f>
        <v>YES</v>
      </c>
      <c r="G192" s="4"/>
      <c r="H192" s="4" t="str">
        <f aca="false">IFERROR(__xludf.dummyfunction("""COMPUTED_VALUE"""),"purpose/attempting::of::implementing::the::BP/feature")</f>
        <v>purpose/attempting::of::implementing::the::BP/feature</v>
      </c>
    </row>
    <row r="193" customFormat="false" ht="15.75" hidden="false" customHeight="false" outlineLevel="0" collapsed="false">
      <c r="B193" s="3" t="str">
        <f aca="false">IF(COUNTIF(Final_CB_ML6_V5!$B$2:$B$827,A193)&gt;=1,"YES","NO")</f>
        <v>NO</v>
      </c>
      <c r="C193" s="3" t="s">
        <v>1017</v>
      </c>
      <c r="D193" s="3" t="str">
        <f aca="false">IF(COUNTIF(Final_CB_ML6_V5!$C$2:$C$827,C193)&gt;=1,"YES","NO")</f>
        <v>YES</v>
      </c>
      <c r="G193" s="4"/>
      <c r="H193" s="4" t="str">
        <f aca="false">IFERROR(__xludf.dummyfunction("""COMPUTED_VALUE"""),"question::about::if::it::is::right::place::to::ask::about::bp/feature")</f>
        <v>question::about::if::it::is::right::place::to::ask::about::bp/feature</v>
      </c>
    </row>
    <row r="194" customFormat="false" ht="15.75" hidden="false" customHeight="false" outlineLevel="0" collapsed="false">
      <c r="B194" s="3" t="str">
        <f aca="false">IF(COUNTIF(Final_CB_ML6_V5!$B$2:$B$827,A194)&gt;=1,"YES","NO")</f>
        <v>NO</v>
      </c>
      <c r="C194" s="3" t="s">
        <v>1018</v>
      </c>
      <c r="D194" s="3" t="str">
        <f aca="false">IF(COUNTIF(Final_CB_ML6_V5!$C$2:$C$827,C194)&gt;=1,"YES","NO")</f>
        <v>YES</v>
      </c>
      <c r="G194" s="4"/>
      <c r="H194" s="4" t="str">
        <f aca="false">IFERROR(__xludf.dummyfunction("""COMPUTED_VALUE"""),"reasons::for::not::meeting::the::initial::development::deadline")</f>
        <v>reasons::for::not::meeting::the::initial::development::deadline</v>
      </c>
    </row>
    <row r="195" customFormat="false" ht="15.75" hidden="false" customHeight="false" outlineLevel="0" collapsed="false">
      <c r="B195" s="3" t="str">
        <f aca="false">IF(COUNTIF(Final_CB_ML6_V5!$B$2:$B$827,A195)&gt;=1,"YES","NO")</f>
        <v>NO</v>
      </c>
      <c r="C195" s="3" t="s">
        <v>1019</v>
      </c>
      <c r="D195" s="3" t="str">
        <f aca="false">IF(COUNTIF(Final_CB_ML6_V5!$C$2:$C$827,C195)&gt;=1,"YES","NO")</f>
        <v>YES</v>
      </c>
      <c r="G195" s="4"/>
      <c r="H195" s="4" t="str">
        <f aca="false">IFERROR(__xludf.dummyfunction("""COMPUTED_VALUE"""),"reasons::why::the::FFE::could::be::rejected::(not::complete::test::suit)")</f>
        <v>reasons::why::the::FFE::could::be::rejected::(not::complete::test::suit)</v>
      </c>
    </row>
    <row r="196" customFormat="false" ht="15.75" hidden="false" customHeight="false" outlineLevel="0" collapsed="false">
      <c r="B196" s="3" t="str">
        <f aca="false">IF(COUNTIF(Final_CB_ML6_V5!$B$2:$B$827,A196)&gt;=1,"YES","NO")</f>
        <v>NO</v>
      </c>
      <c r="C196" s="3" t="s">
        <v>1020</v>
      </c>
      <c r="D196" s="3" t="str">
        <f aca="false">IF(COUNTIF(Final_CB_ML6_V5!$C$2:$C$827,C196)&gt;=1,"YES","NO")</f>
        <v>YES</v>
      </c>
      <c r="G196" s="4"/>
      <c r="H196" s="4" t="str">
        <f aca="false">IFERROR(__xludf.dummyfunction("""COMPUTED_VALUE"""),"reasons::why::the::FFE::was::rejected::(refactoring::structure::,::data::format)")</f>
        <v>reasons::why::the::FFE::was::rejected::(refactoring::structure::,::data::format)</v>
      </c>
    </row>
    <row r="197" customFormat="false" ht="15.75" hidden="false" customHeight="false" outlineLevel="0" collapsed="false">
      <c r="B197" s="3" t="str">
        <f aca="false">IF(COUNTIF(Final_CB_ML6_V5!$B$2:$B$827,A197)&gt;=1,"YES","NO")</f>
        <v>NO</v>
      </c>
      <c r="C197" s="3" t="s">
        <v>1021</v>
      </c>
      <c r="D197" s="3" t="str">
        <f aca="false">IF(COUNTIF(Final_CB_ML6_V5!$C$2:$C$827,C197)&gt;=1,"YES","NO")</f>
        <v>YES</v>
      </c>
      <c r="G197" s="4"/>
      <c r="H197" s="4" t="str">
        <f aca="false">IFERROR(__xludf.dummyfunction("""COMPUTED_VALUE"""),"reference::BP::related")</f>
        <v>reference::BP::related</v>
      </c>
    </row>
    <row r="198" customFormat="false" ht="15.75" hidden="false" customHeight="false" outlineLevel="0" collapsed="false">
      <c r="B198" s="3" t="str">
        <f aca="false">IF(COUNTIF(Final_CB_ML6_V5!$B$2:$B$827,A198)&gt;=1,"YES","NO")</f>
        <v>NO</v>
      </c>
      <c r="C198" s="3" t="s">
        <v>1022</v>
      </c>
      <c r="D198" s="3" t="str">
        <f aca="false">IF(COUNTIF(Final_CB_ML6_V5!$C$2:$C$827,C198)&gt;=1,"YES","NO")</f>
        <v>YES</v>
      </c>
      <c r="G198" s="4"/>
      <c r="H198" s="4" t="str">
        <f aca="false">IFERROR(__xludf.dummyfunction("""COMPUTED_VALUE"""),"reference::development::guides")</f>
        <v>reference::development::guides</v>
      </c>
    </row>
    <row r="199" customFormat="false" ht="15.75" hidden="false" customHeight="false" outlineLevel="0" collapsed="false">
      <c r="B199" s="3" t="str">
        <f aca="false">IF(COUNTIF(Final_CB_ML6_V5!$B$2:$B$827,A199)&gt;=1,"YES","NO")</f>
        <v>NO</v>
      </c>
      <c r="C199" s="3" t="s">
        <v>1023</v>
      </c>
      <c r="D199" s="3" t="str">
        <f aca="false">IF(COUNTIF(Final_CB_ML6_V5!$C$2:$C$827,C199)&gt;=1,"YES","NO")</f>
        <v>YES</v>
      </c>
      <c r="G199" s="4"/>
      <c r="H199" s="4" t="str">
        <f aca="false">IFERROR(__xludf.dummyfunction("""COMPUTED_VALUE"""),"reference::etherpad")</f>
        <v>reference::etherpad</v>
      </c>
    </row>
    <row r="200" customFormat="false" ht="15.75" hidden="false" customHeight="false" outlineLevel="0" collapsed="false">
      <c r="B200" s="3" t="str">
        <f aca="false">IF(COUNTIF(Final_CB_ML6_V5!$B$2:$B$827,A200)&gt;=1,"YES","NO")</f>
        <v>NO</v>
      </c>
      <c r="C200" s="3" t="s">
        <v>1024</v>
      </c>
      <c r="D200" s="3" t="str">
        <f aca="false">IF(COUNTIF(Final_CB_ML6_V5!$C$2:$C$827,C200)&gt;=1,"YES","NO")</f>
        <v>YES</v>
      </c>
      <c r="G200" s="4"/>
      <c r="H200" s="4" t="str">
        <f aca="false">IFERROR(__xludf.dummyfunction("""COMPUTED_VALUE"""),"reference::repository")</f>
        <v>reference::repository</v>
      </c>
    </row>
    <row r="201" customFormat="false" ht="15.75" hidden="false" customHeight="false" outlineLevel="0" collapsed="false">
      <c r="B201" s="3" t="str">
        <f aca="false">IF(COUNTIF(Final_CB_ML6_V5!$B$2:$B$827,A201)&gt;=1,"YES","NO")</f>
        <v>NO</v>
      </c>
      <c r="C201" s="3" t="s">
        <v>887</v>
      </c>
      <c r="D201" s="3" t="str">
        <f aca="false">IF(COUNTIF(Final_CB_ML6_V5!$C$2:$C$827,C201)&gt;=1,"YES","NO")</f>
        <v>YES</v>
      </c>
      <c r="G201" s="4"/>
      <c r="H201" s="4" t="str">
        <f aca="false">IFERROR(__xludf.dummyfunction("""COMPUTED_VALUE"""),"reference::review::(related)")</f>
        <v>reference::review::(related)</v>
      </c>
    </row>
    <row r="202" customFormat="false" ht="15.75" hidden="false" customHeight="false" outlineLevel="0" collapsed="false">
      <c r="B202" s="3" t="str">
        <f aca="false">IF(COUNTIF(Final_CB_ML6_V5!$B$2:$B$827,A202)&gt;=1,"YES","NO")</f>
        <v>NO</v>
      </c>
      <c r="C202" s="3" t="s">
        <v>889</v>
      </c>
      <c r="D202" s="3" t="str">
        <f aca="false">IF(COUNTIF(Final_CB_ML6_V5!$C$2:$C$827,C202)&gt;=1,"YES","NO")</f>
        <v>YES</v>
      </c>
      <c r="G202" s="4"/>
      <c r="H202" s="4" t="str">
        <f aca="false">IFERROR(__xludf.dummyfunction("""COMPUTED_VALUE"""),"reference::specification")</f>
        <v>reference::specification</v>
      </c>
    </row>
    <row r="203" customFormat="false" ht="15.75" hidden="false" customHeight="false" outlineLevel="0" collapsed="false">
      <c r="B203" s="3" t="str">
        <f aca="false">IF(COUNTIF(Final_CB_ML6_V5!$B$2:$B$827,A203)&gt;=1,"YES","NO")</f>
        <v>NO</v>
      </c>
      <c r="C203" s="3" t="s">
        <v>893</v>
      </c>
      <c r="D203" s="3" t="str">
        <f aca="false">IF(COUNTIF(Final_CB_ML6_V5!$C$2:$C$827,C203)&gt;=1,"YES","NO")</f>
        <v>YES</v>
      </c>
      <c r="G203" s="4"/>
      <c r="H203" s="4" t="str">
        <f aca="false">IFERROR(__xludf.dummyfunction("""COMPUTED_VALUE"""),"reference::topic")</f>
        <v>reference::topic</v>
      </c>
    </row>
    <row r="204" customFormat="false" ht="15.75" hidden="false" customHeight="false" outlineLevel="0" collapsed="false">
      <c r="B204" s="3" t="str">
        <f aca="false">IF(COUNTIF(Final_CB_ML6_V5!$B$2:$B$827,A204)&gt;=1,"YES","NO")</f>
        <v>NO</v>
      </c>
      <c r="C204" s="3" t="s">
        <v>1025</v>
      </c>
      <c r="D204" s="3" t="str">
        <f aca="false">IF(COUNTIF(Final_CB_ML6_V5!$C$2:$C$827,C204)&gt;=1,"YES","NO")</f>
        <v>YES</v>
      </c>
      <c r="G204" s="4"/>
      <c r="H204" s="4" t="str">
        <f aca="false">IFERROR(__xludf.dummyfunction("""COMPUTED_VALUE"""),"requesting::a::meeeting::(IRC)")</f>
        <v>requesting::a::meeeting::(IRC)</v>
      </c>
    </row>
    <row r="205" customFormat="false" ht="15.75" hidden="false" customHeight="false" outlineLevel="0" collapsed="false">
      <c r="B205" s="3" t="str">
        <f aca="false">IF(COUNTIF(Final_CB_ML6_V5!$B$2:$B$827,A205)&gt;=1,"YES","NO")</f>
        <v>NO</v>
      </c>
      <c r="C205" s="3" t="s">
        <v>1026</v>
      </c>
      <c r="D205" s="3" t="str">
        <f aca="false">IF(COUNTIF(Final_CB_ML6_V5!$C$2:$C$827,C205)&gt;=1,"YES","NO")</f>
        <v>YES</v>
      </c>
      <c r="G205" s="4"/>
      <c r="H205" s="4" t="str">
        <f aca="false">IFERROR(__xludf.dummyfunction("""COMPUTED_VALUE"""),"requesting::feature::freeze::exception::for::BP/feature")</f>
        <v>requesting::feature::freeze::exception::for::BP/feature</v>
      </c>
    </row>
    <row r="206" customFormat="false" ht="15.75" hidden="false" customHeight="false" outlineLevel="0" collapsed="false">
      <c r="B206" s="3" t="str">
        <f aca="false">IF(COUNTIF(Final_CB_ML6_V5!$B$2:$B$827,A206)&gt;=1,"YES","NO")</f>
        <v>NO</v>
      </c>
      <c r="C206" s="3" t="s">
        <v>901</v>
      </c>
      <c r="D206" s="3" t="str">
        <f aca="false">IF(COUNTIF(Final_CB_ML6_V5!$C$2:$C$827,C206)&gt;=1,"YES","NO")</f>
        <v>YES</v>
      </c>
      <c r="G206" s="4"/>
      <c r="H206" s="4" t="str">
        <f aca="false">IFERROR(__xludf.dummyfunction("""COMPUTED_VALUE"""),"requesting::feature::freeze::exception::for::BP/feature/patch::include::bug")</f>
        <v>requesting::feature::freeze::exception::for::BP/feature/patch::include::bug</v>
      </c>
    </row>
    <row r="207" customFormat="false" ht="15.75" hidden="false" customHeight="false" outlineLevel="0" collapsed="false">
      <c r="B207" s="3" t="str">
        <f aca="false">IF(COUNTIF(Final_CB_ML6_V5!$B$2:$B$827,A207)&gt;=1,"YES","NO")</f>
        <v>NO</v>
      </c>
      <c r="C207" s="3" t="s">
        <v>1027</v>
      </c>
      <c r="D207" s="3" t="str">
        <f aca="false">IF(COUNTIF(Final_CB_ML6_V5!$C$2:$C$827,C207)&gt;=1,"YES","NO")</f>
        <v>YES</v>
      </c>
      <c r="G207" s="4"/>
      <c r="H207" s="4" t="str">
        <f aca="false">IFERROR(__xludf.dummyfunction("""COMPUTED_VALUE"""),"requesting::feature::freeze::exception::for::BP/feature::include::bug")</f>
        <v>requesting::feature::freeze::exception::for::BP/feature::include::bug</v>
      </c>
    </row>
    <row r="208" customFormat="false" ht="15.75" hidden="false" customHeight="false" outlineLevel="0" collapsed="false">
      <c r="B208" s="3" t="str">
        <f aca="false">IF(COUNTIF(Final_CB_ML6_V5!$B$2:$B$827,A208)&gt;=1,"YES","NO")</f>
        <v>NO</v>
      </c>
      <c r="C208" s="3" t="s">
        <v>1028</v>
      </c>
      <c r="D208" s="3" t="str">
        <f aca="false">IF(COUNTIF(Final_CB_ML6_V5!$C$2:$C$827,C208)&gt;=1,"YES","NO")</f>
        <v>YES</v>
      </c>
      <c r="G208" s="4"/>
      <c r="H208" s="4" t="str">
        <f aca="false">IFERROR(__xludf.dummyfunction("""COMPUTED_VALUE"""),"requesting::feature::freeze::exception::for::BP/feature::include::patch")</f>
        <v>requesting::feature::freeze::exception::for::BP/feature::include::patch</v>
      </c>
    </row>
    <row r="209" customFormat="false" ht="15.75" hidden="false" customHeight="false" outlineLevel="0" collapsed="false">
      <c r="B209" s="3" t="str">
        <f aca="false">IF(COUNTIF(Final_CB_ML6_V5!$B$2:$B$827,A209)&gt;=1,"YES","NO")</f>
        <v>NO</v>
      </c>
      <c r="C209" s="3" t="s">
        <v>1029</v>
      </c>
      <c r="D209" s="3" t="str">
        <f aca="false">IF(COUNTIF(Final_CB_ML6_V5!$C$2:$C$827,C209)&gt;=1,"YES","NO")</f>
        <v>YES</v>
      </c>
      <c r="G209" s="4"/>
      <c r="H209" s="4" t="str">
        <f aca="false">IFERROR(__xludf.dummyfunction("""COMPUTED_VALUE"""),"requesting::feature::freeze::exception::for::revire::to::include::BP/feature")</f>
        <v>requesting::feature::freeze::exception::for::revire::to::include::BP/feature</v>
      </c>
    </row>
    <row r="210" customFormat="false" ht="15.75" hidden="false" customHeight="false" outlineLevel="0" collapsed="false">
      <c r="B210" s="3" t="str">
        <f aca="false">IF(COUNTIF(Final_CB_ML6_V5!$B$2:$B$827,A210)&gt;=1,"YES","NO")</f>
        <v>NO</v>
      </c>
      <c r="C210" s="3" t="s">
        <v>902</v>
      </c>
      <c r="D210" s="3" t="str">
        <f aca="false">IF(COUNTIF(Final_CB_ML6_V5!$C$2:$C$827,C210)&gt;=1,"YES","NO")</f>
        <v>YES</v>
      </c>
      <c r="G210" s="4"/>
      <c r="H210" s="4" t="str">
        <f aca="false">IFERROR(__xludf.dummyfunction("""COMPUTED_VALUE"""),"requesting::removing::negative::votes::in::bugs")</f>
        <v>requesting::removing::negative::votes::in::bugs</v>
      </c>
    </row>
    <row r="211" customFormat="false" ht="15.75" hidden="false" customHeight="false" outlineLevel="0" collapsed="false">
      <c r="B211" s="3" t="str">
        <f aca="false">IF(COUNTIF(Final_CB_ML6_V5!$B$2:$B$827,A211)&gt;=1,"YES","NO")</f>
        <v>NO</v>
      </c>
      <c r="C211" s="3" t="s">
        <v>1030</v>
      </c>
      <c r="D211" s="3" t="str">
        <f aca="false">IF(COUNTIF(Final_CB_ML6_V5!$C$2:$C$827,C211)&gt;=1,"YES","NO")</f>
        <v>YES</v>
      </c>
      <c r="G211" s="4"/>
      <c r="H211" s="4" t="str">
        <f aca="false">IFERROR(__xludf.dummyfunction("""COMPUTED_VALUE"""),"requesting::update::develpment::process::(agenda::meeting)::if::needed")</f>
        <v>requesting::update::develpment::process::(agenda::meeting)::if::needed</v>
      </c>
    </row>
    <row r="212" customFormat="false" ht="15.75" hidden="false" customHeight="false" outlineLevel="0" collapsed="false">
      <c r="B212" s="3" t="str">
        <f aca="false">IF(COUNTIF(Final_CB_ML6_V5!$B$2:$B$827,A212)&gt;=1,"YES","NO")</f>
        <v>NO</v>
      </c>
      <c r="C212" s="3" t="s">
        <v>904</v>
      </c>
      <c r="D212" s="3" t="str">
        <f aca="false">IF(COUNTIF(Final_CB_ML6_V5!$C$2:$C$827,C212)&gt;=1,"YES","NO")</f>
        <v>YES</v>
      </c>
      <c r="G212" s="4"/>
      <c r="H212" s="4" t="str">
        <f aca="false">IFERROR(__xludf.dummyfunction("""COMPUTED_VALUE"""),"requesting::update::develpment::process::(BP)::if::needed")</f>
        <v>requesting::update::develpment::process::(BP)::if::needed</v>
      </c>
    </row>
    <row r="213" customFormat="false" ht="15.75" hidden="false" customHeight="false" outlineLevel="0" collapsed="false">
      <c r="B213" s="3" t="str">
        <f aca="false">IF(COUNTIF(Final_CB_ML6_V5!$B$2:$B$827,A213)&gt;=1,"YES","NO")</f>
        <v>NO</v>
      </c>
      <c r="C213" s="3" t="s">
        <v>1031</v>
      </c>
      <c r="D213" s="3" t="str">
        <f aca="false">IF(COUNTIF(Final_CB_ML6_V5!$C$2:$C$827,C213)&gt;=1,"YES","NO")</f>
        <v>YES</v>
      </c>
      <c r="G213" s="4"/>
      <c r="H213" s="4" t="str">
        <f aca="false">IFERROR(__xludf.dummyfunction("""COMPUTED_VALUE"""),"results::of::a::previous::meeting::BP/feature")</f>
        <v>results::of::a::previous::meeting::BP/feature</v>
      </c>
    </row>
    <row r="214" customFormat="false" ht="15.75" hidden="false" customHeight="false" outlineLevel="0" collapsed="false">
      <c r="B214" s="3" t="str">
        <f aca="false">IF(COUNTIF(Final_CB_ML6_V5!$B$2:$B$827,A214)&gt;=1,"YES","NO")</f>
        <v>NO</v>
      </c>
      <c r="C214" s="3" t="s">
        <v>1032</v>
      </c>
      <c r="D214" s="3" t="str">
        <f aca="false">IF(COUNTIF(Final_CB_ML6_V5!$C$2:$C$827,C214)&gt;=1,"YES","NO")</f>
        <v>YES</v>
      </c>
      <c r="G214" s="4"/>
      <c r="H214" s="4" t="str">
        <f aca="false">IFERROR(__xludf.dummyfunction("""COMPUTED_VALUE"""),"results::of::a::previous::meeting::other")</f>
        <v>results::of::a::previous::meeting::other</v>
      </c>
    </row>
    <row r="215" customFormat="false" ht="15.75" hidden="false" customHeight="false" outlineLevel="0" collapsed="false">
      <c r="B215" s="3" t="str">
        <f aca="false">IF(COUNTIF(Final_CB_ML6_V5!$B$2:$B$827,A215)&gt;=1,"YES","NO")</f>
        <v>NO</v>
      </c>
      <c r="C215" s="3" t="s">
        <v>1033</v>
      </c>
      <c r="D215" s="3" t="str">
        <f aca="false">IF(COUNTIF(Final_CB_ML6_V5!$C$2:$C$827,C215)&gt;=1,"YES","NO")</f>
        <v>YES</v>
      </c>
      <c r="G215" s="4"/>
      <c r="H215" s="4" t="str">
        <f aca="false">IFERROR(__xludf.dummyfunction("""COMPUTED_VALUE"""),"security::issues")</f>
        <v>security::issues</v>
      </c>
    </row>
    <row r="216" customFormat="false" ht="15.75" hidden="false" customHeight="false" outlineLevel="0" collapsed="false">
      <c r="B216" s="3" t="str">
        <f aca="false">IF(COUNTIF(Final_CB_ML6_V5!$B$2:$B$827,A216)&gt;=1,"YES","NO")</f>
        <v>NO</v>
      </c>
      <c r="C216" s="3" t="s">
        <v>1034</v>
      </c>
      <c r="D216" s="3" t="str">
        <f aca="false">IF(COUNTIF(Final_CB_ML6_V5!$C$2:$C$827,C216)&gt;=1,"YES","NO")</f>
        <v>YES</v>
      </c>
      <c r="G216" s="4"/>
      <c r="H216" s="4" t="str">
        <f aca="false">IFERROR(__xludf.dummyfunction("""COMPUTED_VALUE"""),"setting::deadline::to::approve::a::review")</f>
        <v>setting::deadline::to::approve::a::review</v>
      </c>
    </row>
    <row r="217" customFormat="false" ht="15.75" hidden="false" customHeight="false" outlineLevel="0" collapsed="false">
      <c r="B217" s="3" t="str">
        <f aca="false">IF(COUNTIF(Final_CB_ML6_V5!$B$2:$B$827,A217)&gt;=1,"YES","NO")</f>
        <v>NO</v>
      </c>
      <c r="C217" s="3" t="s">
        <v>1035</v>
      </c>
      <c r="D217" s="3" t="str">
        <f aca="false">IF(COUNTIF(Final_CB_ML6_V5!$C$2:$C$827,C217)&gt;=1,"YES","NO")</f>
        <v>YES</v>
      </c>
      <c r="G217" s="4"/>
      <c r="H217" s="4" t="str">
        <f aca="false">IFERROR(__xludf.dummyfunction("""COMPUTED_VALUE"""),"solution::for::the::responsabilities::left::of::by::other::developers::(bug/BP/feature::related)")</f>
        <v>solution::for::the::responsabilities::left::of::by::other::developers::(bug/BP/feature::related)</v>
      </c>
    </row>
    <row r="218" customFormat="false" ht="15.75" hidden="false" customHeight="false" outlineLevel="0" collapsed="false">
      <c r="B218" s="3" t="str">
        <f aca="false">IF(COUNTIF(Final_CB_ML6_V5!$B$2:$B$827,A218)&gt;=1,"YES","NO")</f>
        <v>NO</v>
      </c>
      <c r="C218" s="3" t="s">
        <v>908</v>
      </c>
      <c r="D218" s="3" t="str">
        <f aca="false">IF(COUNTIF(Final_CB_ML6_V5!$C$2:$C$827,C218)&gt;=1,"YES","NO")</f>
        <v>YES</v>
      </c>
      <c r="G218" s="4"/>
      <c r="H218" s="4" t="str">
        <f aca="false">IFERROR(__xludf.dummyfunction("""COMPUTED_VALUE"""),"specification::of::the::build::system::used::for::doing::the::BP")</f>
        <v>specification::of::the::build::system::used::for::doing::the::BP</v>
      </c>
    </row>
    <row r="219" customFormat="false" ht="15.75" hidden="false" customHeight="false" outlineLevel="0" collapsed="false">
      <c r="B219" s="3" t="str">
        <f aca="false">IF(COUNTIF(Final_CB_ML6_V5!$B$2:$B$827,A219)&gt;=1,"YES","NO")</f>
        <v>NO</v>
      </c>
      <c r="C219" s="3" t="s">
        <v>1036</v>
      </c>
      <c r="D219" s="3" t="str">
        <f aca="false">IF(COUNTIF(Final_CB_ML6_V5!$C$2:$C$827,C219)&gt;=1,"YES","NO")</f>
        <v>YES</v>
      </c>
      <c r="G219" s="4"/>
      <c r="H219" s="4" t="str">
        <f aca="false">IFERROR(__xludf.dummyfunction("""COMPUTED_VALUE"""),"splitting::the::changes::into::specific::BP::(The::current::bp::related)")</f>
        <v>splitting::the::changes::into::specific::BP::(The::current::bp::related)</v>
      </c>
    </row>
    <row r="220" customFormat="false" ht="15.75" hidden="false" customHeight="false" outlineLevel="0" collapsed="false">
      <c r="B220" s="3" t="str">
        <f aca="false">IF(COUNTIF(Final_CB_ML6_V5!$B$2:$B$827,A220)&gt;=1,"YES","NO")</f>
        <v>NO</v>
      </c>
      <c r="C220" s="3" t="s">
        <v>910</v>
      </c>
      <c r="D220" s="3" t="str">
        <f aca="false">IF(COUNTIF(Final_CB_ML6_V5!$C$2:$C$827,C220)&gt;=1,"YES","NO")</f>
        <v>YES</v>
      </c>
      <c r="G220" s="4"/>
      <c r="H220" s="4" t="str">
        <f aca="false">IFERROR(__xludf.dummyfunction("""COMPUTED_VALUE"""),"suggesting::development::process::(split::changes::into::smaller::pieces)::for::summit")</f>
        <v>suggesting::development::process::(split::changes::into::smaller::pieces)::for::summit</v>
      </c>
    </row>
    <row r="221" customFormat="false" ht="15.75" hidden="false" customHeight="false" outlineLevel="0" collapsed="false">
      <c r="B221" s="3" t="str">
        <f aca="false">IF(COUNTIF(Final_CB_ML6_V5!$B$2:$B$827,A221)&gt;=1,"YES","NO")</f>
        <v>NO</v>
      </c>
      <c r="C221" s="3" t="s">
        <v>1037</v>
      </c>
      <c r="D221" s="3" t="str">
        <f aca="false">IF(COUNTIF(Final_CB_ML6_V5!$C$2:$C$827,C221)&gt;=1,"YES","NO")</f>
        <v>YES</v>
      </c>
      <c r="G221" s="4"/>
      <c r="H221" s="4" t="str">
        <f aca="false">IFERROR(__xludf.dummyfunction("""COMPUTED_VALUE"""),"suggesting::discussing::topic::online")</f>
        <v>suggesting::discussing::topic::online</v>
      </c>
    </row>
    <row r="222" customFormat="false" ht="15.75" hidden="false" customHeight="false" outlineLevel="0" collapsed="false">
      <c r="B222" s="3" t="str">
        <f aca="false">IF(COUNTIF(Final_CB_ML6_V5!$B$2:$B$827,A222)&gt;=1,"YES","NO")</f>
        <v>NO</v>
      </c>
      <c r="C222" s="3" t="s">
        <v>1038</v>
      </c>
      <c r="D222" s="3" t="str">
        <f aca="false">IF(COUNTIF(Final_CB_ML6_V5!$C$2:$C$827,C222)&gt;=1,"YES","NO")</f>
        <v>YES</v>
      </c>
      <c r="G222" s="4"/>
      <c r="H222" s="4" t="str">
        <f aca="false">IFERROR(__xludf.dummyfunction("""COMPUTED_VALUE"""),"suggestions:.of::improvements::of::the::software::based:.on::new::opportunities:.based::on::changes::needed:.for:.the::bug")</f>
        <v>suggestions:.of::improvements::of::the::software::based:.on::new::opportunities:.based::on::changes::needed:.for:.the::bug</v>
      </c>
    </row>
    <row r="223" customFormat="false" ht="15.75" hidden="false" customHeight="false" outlineLevel="0" collapsed="false">
      <c r="B223" s="3" t="str">
        <f aca="false">IF(COUNTIF(Final_CB_ML6_V5!$B$2:$B$827,A223)&gt;=1,"YES","NO")</f>
        <v>NO</v>
      </c>
      <c r="C223" s="3" t="s">
        <v>1039</v>
      </c>
      <c r="D223" s="3" t="str">
        <f aca="false">IF(COUNTIF(Final_CB_ML6_V5!$C$2:$C$827,C223)&gt;=1,"YES","NO")</f>
        <v>YES</v>
      </c>
      <c r="G223" s="4"/>
      <c r="H223" s="4" t="str">
        <f aca="false">IFERROR(__xludf.dummyfunction("""COMPUTED_VALUE"""),"summary::of::the::design::choices::(in::the::mailing::list)")</f>
        <v>summary::of::the::design::choices::(in::the::mailing::list)</v>
      </c>
    </row>
    <row r="224" customFormat="false" ht="15.75" hidden="false" customHeight="false" outlineLevel="0" collapsed="false">
      <c r="B224" s="3" t="str">
        <f aca="false">IF(COUNTIF(Final_CB_ML6_V5!$B$2:$B$827,A224)&gt;=1,"YES","NO")</f>
        <v>NO</v>
      </c>
      <c r="C224" s="3" t="s">
        <v>1040</v>
      </c>
      <c r="D224" s="3" t="str">
        <f aca="false">IF(COUNTIF(Final_CB_ML6_V5!$C$2:$C$827,C224)&gt;=1,"YES","NO")</f>
        <v>YES</v>
      </c>
      <c r="G224" s="4"/>
      <c r="H224" s="4" t="str">
        <f aca="false">IFERROR(__xludf.dummyfunction("""COMPUTED_VALUE"""),"taking::care::of::review::in::related::changes::of::the::project")</f>
        <v>taking::care::of::review::in::related::changes::of::the::project</v>
      </c>
    </row>
    <row r="225" customFormat="false" ht="15.75" hidden="false" customHeight="false" outlineLevel="0" collapsed="false">
      <c r="B225" s="3" t="str">
        <f aca="false">IF(COUNTIF(Final_CB_ML6_V5!$B$2:$B$827,A225)&gt;=1,"YES","NO")</f>
        <v>NO</v>
      </c>
      <c r="C225" s="3" t="s">
        <v>1041</v>
      </c>
      <c r="D225" s="3" t="str">
        <f aca="false">IF(COUNTIF(Final_CB_ML6_V5!$C$2:$C$827,C225)&gt;=1,"YES","NO")</f>
        <v>YES</v>
      </c>
      <c r="G225" s="4"/>
      <c r="H225" s="4" t="str">
        <f aca="false">IFERROR(__xludf.dummyfunction("""COMPUTED_VALUE"""),"testing::performance::of::drafted::proposal::for::implementing::the::BP/feature::not::production::code")</f>
        <v>testing::performance::of::drafted::proposal::for::implementing::the::BP/feature::not::production::code</v>
      </c>
    </row>
    <row r="226" customFormat="false" ht="15.75" hidden="false" customHeight="false" outlineLevel="0" collapsed="false">
      <c r="B226" s="3" t="str">
        <f aca="false">IF(COUNTIF(Final_CB_ML6_V5!$B$2:$B$827,A226)&gt;=1,"YES","NO")</f>
        <v>NO</v>
      </c>
      <c r="C226" s="3" t="s">
        <v>1042</v>
      </c>
      <c r="D226" s="3" t="str">
        <f aca="false">IF(COUNTIF(Final_CB_ML6_V5!$C$2:$C$827,C226)&gt;=1,"YES","NO")</f>
        <v>YES</v>
      </c>
      <c r="G226" s="4"/>
      <c r="H226" s="4" t="str">
        <f aca="false">IFERROR(__xludf.dummyfunction("""COMPUTED_VALUE"""),"updating::documentation::for::a::new::feature/BP")</f>
        <v>updating::documentation::for::a::new::feature/BP</v>
      </c>
    </row>
    <row r="227" customFormat="false" ht="15.75" hidden="false" customHeight="false" outlineLevel="0" collapsed="false">
      <c r="B227" s="3" t="str">
        <f aca="false">IF(COUNTIF(Final_CB_ML6_V5!$B$2:$B$827,A227)&gt;=1,"YES","NO")</f>
        <v>NO</v>
      </c>
      <c r="C227" s="3" t="s">
        <v>1043</v>
      </c>
      <c r="D227" s="3" t="str">
        <f aca="false">IF(COUNTIF(Final_CB_ML6_V5!$C$2:$C$827,C227)&gt;=1,"YES","NO")</f>
        <v>YES</v>
      </c>
      <c r="G227" s="4"/>
      <c r="H227" s="4"/>
    </row>
    <row r="228" customFormat="false" ht="15.75" hidden="false" customHeight="false" outlineLevel="0" collapsed="false">
      <c r="B228" s="3" t="str">
        <f aca="false">IF(COUNTIF(Final_CB_ML6_V5!$B$2:$B$827,A228)&gt;=1,"YES","NO")</f>
        <v>NO</v>
      </c>
      <c r="C228" s="3" t="s">
        <v>1044</v>
      </c>
      <c r="D228" s="3" t="str">
        <f aca="false">IF(COUNTIF(Final_CB_ML6_V5!$C$2:$C$827,C228)&gt;=1,"YES","NO")</f>
        <v>YES</v>
      </c>
      <c r="G228" s="4"/>
      <c r="H228" s="4"/>
    </row>
    <row r="229" customFormat="false" ht="15.75" hidden="false" customHeight="false" outlineLevel="0" collapsed="false">
      <c r="B229" s="3" t="str">
        <f aca="false">IF(COUNTIF(Final_CB_ML6_V5!$B$2:$B$827,A229)&gt;=1,"YES","NO")</f>
        <v>NO</v>
      </c>
      <c r="C229" s="3" t="s">
        <v>1045</v>
      </c>
      <c r="D229" s="3" t="str">
        <f aca="false">IF(COUNTIF(Final_CB_ML6_V5!$C$2:$C$827,C229)&gt;=1,"YES","NO")</f>
        <v>YES</v>
      </c>
      <c r="G229" s="4"/>
      <c r="H229" s="4"/>
    </row>
    <row r="230" customFormat="false" ht="15.75" hidden="false" customHeight="false" outlineLevel="0" collapsed="false">
      <c r="B230" s="3" t="str">
        <f aca="false">IF(COUNTIF(Final_CB_ML6_V5!$B$2:$B$827,A230)&gt;=1,"YES","NO")</f>
        <v>NO</v>
      </c>
      <c r="C230" s="3" t="s">
        <v>1046</v>
      </c>
      <c r="D230" s="3" t="str">
        <f aca="false">IF(COUNTIF(Final_CB_ML6_V5!$C$2:$C$827,C230)&gt;=1,"YES","NO")</f>
        <v>YES</v>
      </c>
      <c r="G230" s="4"/>
      <c r="H230" s="4"/>
    </row>
    <row r="231" customFormat="false" ht="15.75" hidden="false" customHeight="false" outlineLevel="0" collapsed="false">
      <c r="B231" s="3" t="str">
        <f aca="false">IF(COUNTIF(Final_CB_ML6_V5!$B$2:$B$827,A231)&gt;=1,"YES","NO")</f>
        <v>NO</v>
      </c>
      <c r="C231" s="3" t="s">
        <v>918</v>
      </c>
      <c r="D231" s="3" t="str">
        <f aca="false">IF(COUNTIF(Final_CB_ML6_V5!$C$2:$C$827,C231)&gt;=1,"YES","NO")</f>
        <v>YES</v>
      </c>
      <c r="G231" s="4"/>
      <c r="H231" s="4"/>
    </row>
    <row r="232" customFormat="false" ht="15.75" hidden="false" customHeight="false" outlineLevel="0" collapsed="false">
      <c r="B232" s="3" t="str">
        <f aca="false">IF(COUNTIF(Final_CB_ML6_V5!$B$2:$B$827,A232)&gt;=1,"YES","NO")</f>
        <v>NO</v>
      </c>
      <c r="C232" s="3" t="s">
        <v>1047</v>
      </c>
      <c r="D232" s="3" t="str">
        <f aca="false">IF(COUNTIF(Final_CB_ML6_V5!$C$2:$C$827,C232)&gt;=1,"YES","NO")</f>
        <v>YES</v>
      </c>
      <c r="G232" s="4"/>
      <c r="H232" s="4"/>
    </row>
    <row r="233" customFormat="false" ht="15.75" hidden="false" customHeight="false" outlineLevel="0" collapsed="false">
      <c r="B233" s="3" t="str">
        <f aca="false">IF(COUNTIF(Final_CB_ML6_V5!$B$2:$B$827,A233)&gt;=1,"YES","NO")</f>
        <v>NO</v>
      </c>
      <c r="C233" s="3" t="s">
        <v>1048</v>
      </c>
      <c r="D233" s="3" t="str">
        <f aca="false">IF(COUNTIF(Final_CB_ML6_V5!$C$2:$C$827,C233)&gt;=1,"YES","NO")</f>
        <v>YES</v>
      </c>
      <c r="G233" s="4"/>
      <c r="H233" s="4"/>
    </row>
    <row r="234" customFormat="false" ht="15.75" hidden="false" customHeight="false" outlineLevel="0" collapsed="false">
      <c r="B234" s="3" t="str">
        <f aca="false">IF(COUNTIF(Final_CB_ML6_V5!$B$2:$B$827,A234)&gt;=1,"YES","NO")</f>
        <v>NO</v>
      </c>
      <c r="C234" s="3" t="s">
        <v>920</v>
      </c>
      <c r="D234" s="3" t="str">
        <f aca="false">IF(COUNTIF(Final_CB_ML6_V5!$C$2:$C$827,C234)&gt;=1,"YES","NO")</f>
        <v>YES</v>
      </c>
      <c r="G234" s="4"/>
      <c r="H234" s="4"/>
    </row>
    <row r="235" customFormat="false" ht="15.75" hidden="false" customHeight="false" outlineLevel="0" collapsed="false">
      <c r="B235" s="3" t="str">
        <f aca="false">IF(COUNTIF(Final_CB_ML6_V5!$B$2:$B$827,A235)&gt;=1,"YES","NO")</f>
        <v>NO</v>
      </c>
      <c r="C235" s="3" t="s">
        <v>1049</v>
      </c>
      <c r="D235" s="3" t="str">
        <f aca="false">IF(COUNTIF(Final_CB_ML6_V5!$C$2:$C$827,C235)&gt;=1,"YES","NO")</f>
        <v>YES</v>
      </c>
      <c r="G235" s="4"/>
      <c r="H235" s="4"/>
    </row>
    <row r="236" customFormat="false" ht="15.75" hidden="false" customHeight="false" outlineLevel="0" collapsed="false">
      <c r="B236" s="3" t="str">
        <f aca="false">IF(COUNTIF(Final_CB_ML6_V5!$B$2:$B$827,A236)&gt;=1,"YES","NO")</f>
        <v>NO</v>
      </c>
      <c r="C236" s="3" t="s">
        <v>1050</v>
      </c>
      <c r="D236" s="3" t="str">
        <f aca="false">IF(COUNTIF(Final_CB_ML6_V5!$C$2:$C$827,C236)&gt;=1,"YES","NO")</f>
        <v>YES</v>
      </c>
      <c r="G236" s="4"/>
      <c r="H236" s="4"/>
    </row>
    <row r="237" customFormat="false" ht="15.75" hidden="false" customHeight="false" outlineLevel="0" collapsed="false">
      <c r="B237" s="3" t="str">
        <f aca="false">IF(COUNTIF(Final_CB_ML6_V5!$B$2:$B$827,A237)&gt;=1,"YES","NO")</f>
        <v>NO</v>
      </c>
      <c r="C237" s="3" t="s">
        <v>1051</v>
      </c>
      <c r="D237" s="3" t="str">
        <f aca="false">IF(COUNTIF(Final_CB_ML6_V5!$C$2:$C$827,C237)&gt;=1,"YES","NO")</f>
        <v>YES</v>
      </c>
      <c r="G237" s="4"/>
      <c r="H237" s="4"/>
    </row>
    <row r="238" customFormat="false" ht="15.75" hidden="false" customHeight="false" outlineLevel="0" collapsed="false">
      <c r="B238" s="3" t="str">
        <f aca="false">IF(COUNTIF(Final_CB_ML6_V5!$B$2:$B$827,A238)&gt;=1,"YES","NO")</f>
        <v>NO</v>
      </c>
      <c r="C238" s="3" t="s">
        <v>921</v>
      </c>
      <c r="D238" s="3" t="str">
        <f aca="false">IF(COUNTIF(Final_CB_ML6_V5!$C$2:$C$827,C238)&gt;=1,"YES","NO")</f>
        <v>YES</v>
      </c>
      <c r="G238" s="4"/>
      <c r="H238" s="4"/>
    </row>
    <row r="239" customFormat="false" ht="15.75" hidden="false" customHeight="false" outlineLevel="0" collapsed="false">
      <c r="B239" s="3" t="str">
        <f aca="false">IF(COUNTIF(Final_CB_ML6_V5!$B$2:$B$827,A239)&gt;=1,"YES","NO")</f>
        <v>NO</v>
      </c>
      <c r="C239" s="3" t="s">
        <v>1052</v>
      </c>
      <c r="D239" s="3" t="str">
        <f aca="false">IF(COUNTIF(Final_CB_ML6_V5!$C$2:$C$827,C239)&gt;=1,"YES","NO")</f>
        <v>YES</v>
      </c>
      <c r="G239" s="4"/>
      <c r="H239" s="4"/>
    </row>
    <row r="240" customFormat="false" ht="15.75" hidden="false" customHeight="false" outlineLevel="0" collapsed="false">
      <c r="B240" s="3" t="str">
        <f aca="false">IF(COUNTIF(Final_CB_ML6_V5!$B$2:$B$827,A240)&gt;=1,"YES","NO")</f>
        <v>NO</v>
      </c>
      <c r="C240" s="3" t="s">
        <v>1053</v>
      </c>
      <c r="D240" s="3" t="str">
        <f aca="false">IF(COUNTIF(Final_CB_ML6_V5!$C$2:$C$827,C240)&gt;=1,"YES","NO")</f>
        <v>YES</v>
      </c>
      <c r="G240" s="4"/>
      <c r="H240" s="4"/>
    </row>
    <row r="241" customFormat="false" ht="15.75" hidden="false" customHeight="false" outlineLevel="0" collapsed="false">
      <c r="B241" s="3" t="str">
        <f aca="false">IF(COUNTIF(Final_CB_ML6_V5!$B$2:$B$827,A241)&gt;=1,"YES","NO")</f>
        <v>NO</v>
      </c>
      <c r="C241" s="3" t="s">
        <v>1054</v>
      </c>
      <c r="D241" s="3" t="str">
        <f aca="false">IF(COUNTIF(Final_CB_ML6_V5!$C$2:$C$827,C241)&gt;=1,"YES","NO")</f>
        <v>YES</v>
      </c>
      <c r="G241" s="4"/>
      <c r="H241" s="4"/>
    </row>
    <row r="242" customFormat="false" ht="15.75" hidden="false" customHeight="false" outlineLevel="0" collapsed="false">
      <c r="B242" s="3" t="str">
        <f aca="false">IF(COUNTIF(Final_CB_ML6_V5!$B$2:$B$827,A242)&gt;=1,"YES","NO")</f>
        <v>NO</v>
      </c>
      <c r="C242" s="3" t="s">
        <v>1055</v>
      </c>
      <c r="D242" s="3" t="str">
        <f aca="false">IF(COUNTIF(Final_CB_ML6_V5!$C$2:$C$827,C242)&gt;=1,"YES","NO")</f>
        <v>YES</v>
      </c>
      <c r="G242" s="4"/>
      <c r="H242" s="4"/>
    </row>
    <row r="243" customFormat="false" ht="15.75" hidden="false" customHeight="false" outlineLevel="0" collapsed="false">
      <c r="B243" s="3" t="str">
        <f aca="false">IF(COUNTIF(Final_CB_ML6_V5!$B$2:$B$827,A243)&gt;=1,"YES","NO")</f>
        <v>NO</v>
      </c>
      <c r="C243" s="3" t="s">
        <v>1056</v>
      </c>
      <c r="D243" s="3" t="str">
        <f aca="false">IF(COUNTIF(Final_CB_ML6_V5!$C$2:$C$827,C243)&gt;=1,"YES","NO")</f>
        <v>YES</v>
      </c>
      <c r="G243" s="4"/>
      <c r="H243" s="4"/>
    </row>
    <row r="244" customFormat="false" ht="15.75" hidden="false" customHeight="false" outlineLevel="0" collapsed="false">
      <c r="B244" s="3" t="str">
        <f aca="false">IF(COUNTIF(Final_CB_ML6_V5!$B$2:$B$827,A244)&gt;=1,"YES","NO")</f>
        <v>NO</v>
      </c>
      <c r="C244" s="3" t="s">
        <v>1057</v>
      </c>
      <c r="D244" s="3" t="str">
        <f aca="false">IF(COUNTIF(Final_CB_ML6_V5!$C$2:$C$827,C244)&gt;=1,"YES","NO")</f>
        <v>YES</v>
      </c>
      <c r="G244" s="4"/>
      <c r="H244" s="4"/>
    </row>
    <row r="245" customFormat="false" ht="15.75" hidden="false" customHeight="false" outlineLevel="0" collapsed="false">
      <c r="B245" s="3" t="str">
        <f aca="false">IF(COUNTIF(Final_CB_ML6_V5!$B$2:$B$827,A245)&gt;=1,"YES","NO")</f>
        <v>NO</v>
      </c>
      <c r="C245" s="3" t="s">
        <v>929</v>
      </c>
      <c r="D245" s="3" t="str">
        <f aca="false">IF(COUNTIF(Final_CB_ML6_V5!$C$2:$C$827,C245)&gt;=1,"YES","NO")</f>
        <v>YES</v>
      </c>
      <c r="G245" s="4"/>
      <c r="H245" s="4"/>
    </row>
    <row r="246" customFormat="false" ht="15.75" hidden="false" customHeight="false" outlineLevel="0" collapsed="false">
      <c r="B246" s="3" t="str">
        <f aca="false">IF(COUNTIF(Final_CB_ML6_V5!$B$2:$B$827,A246)&gt;=1,"YES","NO")</f>
        <v>NO</v>
      </c>
      <c r="C246" s="3" t="s">
        <v>1058</v>
      </c>
      <c r="D246" s="3" t="str">
        <f aca="false">IF(COUNTIF(Final_CB_ML6_V5!$C$2:$C$827,C246)&gt;=1,"YES","NO")</f>
        <v>YES</v>
      </c>
      <c r="G246" s="4"/>
      <c r="H246" s="4"/>
    </row>
    <row r="247" customFormat="false" ht="15.75" hidden="false" customHeight="false" outlineLevel="0" collapsed="false">
      <c r="B247" s="3" t="str">
        <f aca="false">IF(COUNTIF(Final_CB_ML6_V5!$B$2:$B$827,A247)&gt;=1,"YES","NO")</f>
        <v>NO</v>
      </c>
      <c r="C247" s="3" t="s">
        <v>931</v>
      </c>
      <c r="D247" s="3" t="str">
        <f aca="false">IF(COUNTIF(Final_CB_ML6_V5!$C$2:$C$827,C247)&gt;=1,"YES","NO")</f>
        <v>YES</v>
      </c>
      <c r="G247" s="4"/>
      <c r="H247" s="4"/>
    </row>
    <row r="248" customFormat="false" ht="15.75" hidden="false" customHeight="false" outlineLevel="0" collapsed="false">
      <c r="B248" s="3" t="str">
        <f aca="false">IF(COUNTIF(Final_CB_ML6_V5!$B$2:$B$827,A248)&gt;=1,"YES","NO")</f>
        <v>NO</v>
      </c>
      <c r="C248" s="3" t="s">
        <v>933</v>
      </c>
      <c r="D248" s="3" t="str">
        <f aca="false">IF(COUNTIF(Final_CB_ML6_V5!$C$2:$C$827,C248)&gt;=1,"YES","NO")</f>
        <v>YES</v>
      </c>
      <c r="G248" s="4"/>
      <c r="H248" s="4"/>
    </row>
    <row r="249" customFormat="false" ht="15.75" hidden="false" customHeight="false" outlineLevel="0" collapsed="false">
      <c r="B249" s="3" t="str">
        <f aca="false">IF(COUNTIF(Final_CB_ML6_V5!$B$2:$B$827,A249)&gt;=1,"YES","NO")</f>
        <v>NO</v>
      </c>
      <c r="C249" s="3" t="s">
        <v>935</v>
      </c>
      <c r="D249" s="3" t="str">
        <f aca="false">IF(COUNTIF(Final_CB_ML6_V5!$C$2:$C$827,C249)&gt;=1,"YES","NO")</f>
        <v>YES</v>
      </c>
      <c r="G249" s="4"/>
      <c r="H249" s="4"/>
    </row>
    <row r="250" customFormat="false" ht="15.75" hidden="false" customHeight="false" outlineLevel="0" collapsed="false">
      <c r="B250" s="3" t="str">
        <f aca="false">IF(COUNTIF(Final_CB_ML6_V5!$B$2:$B$827,A250)&gt;=1,"YES","NO")</f>
        <v>NO</v>
      </c>
      <c r="C250" s="3" t="s">
        <v>1059</v>
      </c>
      <c r="D250" s="3" t="str">
        <f aca="false">IF(COUNTIF(Final_CB_ML6_V5!$C$2:$C$827,C250)&gt;=1,"YES","NO")</f>
        <v>YES</v>
      </c>
      <c r="G250" s="4"/>
      <c r="H250" s="4"/>
    </row>
    <row r="251" customFormat="false" ht="15.75" hidden="false" customHeight="false" outlineLevel="0" collapsed="false">
      <c r="B251" s="3" t="str">
        <f aca="false">IF(COUNTIF(Final_CB_ML6_V5!$B$2:$B$827,A251)&gt;=1,"YES","NO")</f>
        <v>NO</v>
      </c>
      <c r="C251" s="3" t="s">
        <v>937</v>
      </c>
      <c r="D251" s="3" t="str">
        <f aca="false">IF(COUNTIF(Final_CB_ML6_V5!$C$2:$C$827,C251)&gt;=1,"YES","NO")</f>
        <v>YES</v>
      </c>
      <c r="G251" s="4"/>
      <c r="H251" s="4"/>
    </row>
    <row r="252" customFormat="false" ht="15.75" hidden="false" customHeight="false" outlineLevel="0" collapsed="false">
      <c r="B252" s="3" t="str">
        <f aca="false">IF(COUNTIF(Final_CB_ML6_V5!$B$2:$B$827,A252)&gt;=1,"YES","NO")</f>
        <v>NO</v>
      </c>
      <c r="C252" s="3" t="s">
        <v>939</v>
      </c>
      <c r="D252" s="3" t="str">
        <f aca="false">IF(COUNTIF(Final_CB_ML6_V5!$C$2:$C$827,C252)&gt;=1,"YES","NO")</f>
        <v>YES</v>
      </c>
      <c r="G252" s="4"/>
      <c r="H252" s="4"/>
    </row>
    <row r="253" customFormat="false" ht="15.75" hidden="false" customHeight="false" outlineLevel="0" collapsed="false">
      <c r="B253" s="3" t="str">
        <f aca="false">IF(COUNTIF(Final_CB_ML6_V5!$B$2:$B$827,A253)&gt;=1,"YES","NO")</f>
        <v>NO</v>
      </c>
      <c r="C253" s="3" t="s">
        <v>1060</v>
      </c>
      <c r="D253" s="3" t="str">
        <f aca="false">IF(COUNTIF(Final_CB_ML6_V5!$C$2:$C$827,C253)&gt;=1,"YES","NO")</f>
        <v>YES</v>
      </c>
      <c r="G253" s="4"/>
      <c r="H253" s="4"/>
    </row>
    <row r="254" customFormat="false" ht="15.75" hidden="false" customHeight="false" outlineLevel="0" collapsed="false">
      <c r="B254" s="3" t="str">
        <f aca="false">IF(COUNTIF(Final_CB_ML6_V5!$B$2:$B$827,A254)&gt;=1,"YES","NO")</f>
        <v>NO</v>
      </c>
      <c r="C254" s="3" t="s">
        <v>941</v>
      </c>
      <c r="D254" s="3" t="str">
        <f aca="false">IF(COUNTIF(Final_CB_ML6_V5!$C$2:$C$827,C254)&gt;=1,"YES","NO")</f>
        <v>YES</v>
      </c>
      <c r="G254" s="4"/>
      <c r="H254" s="4"/>
    </row>
    <row r="255" customFormat="false" ht="15.75" hidden="false" customHeight="false" outlineLevel="0" collapsed="false">
      <c r="B255" s="3" t="str">
        <f aca="false">IF(COUNTIF(Final_CB_ML6_V5!$B$2:$B$827,A255)&gt;=1,"YES","NO")</f>
        <v>NO</v>
      </c>
      <c r="C255" s="3" t="s">
        <v>1061</v>
      </c>
      <c r="D255" s="3" t="str">
        <f aca="false">IF(COUNTIF(Final_CB_ML6_V5!$C$2:$C$827,C255)&gt;=1,"YES","NO")</f>
        <v>YES</v>
      </c>
      <c r="G255" s="4"/>
      <c r="H255" s="4"/>
    </row>
    <row r="256" customFormat="false" ht="15.75" hidden="false" customHeight="false" outlineLevel="0" collapsed="false">
      <c r="B256" s="3" t="str">
        <f aca="false">IF(COUNTIF(Final_CB_ML6_V5!$B$2:$B$827,A256)&gt;=1,"YES","NO")</f>
        <v>NO</v>
      </c>
      <c r="C256" s="3" t="s">
        <v>944</v>
      </c>
      <c r="D256" s="3" t="str">
        <f aca="false">IF(COUNTIF(Final_CB_ML6_V5!$C$2:$C$827,C256)&gt;=1,"YES","NO")</f>
        <v>YES</v>
      </c>
      <c r="G256" s="4"/>
      <c r="H256" s="4"/>
    </row>
    <row r="257" customFormat="false" ht="15.75" hidden="false" customHeight="false" outlineLevel="0" collapsed="false">
      <c r="B257" s="3" t="str">
        <f aca="false">IF(COUNTIF(Final_CB_ML6_V5!$B$2:$B$827,A257)&gt;=1,"YES","NO")</f>
        <v>NO</v>
      </c>
      <c r="C257" s="3" t="s">
        <v>946</v>
      </c>
      <c r="D257" s="3" t="str">
        <f aca="false">IF(COUNTIF(Final_CB_ML6_V5!$C$2:$C$827,C257)&gt;=1,"YES","NO")</f>
        <v>YES</v>
      </c>
      <c r="G257" s="4"/>
      <c r="H257" s="4"/>
    </row>
    <row r="258" customFormat="false" ht="15.75" hidden="false" customHeight="false" outlineLevel="0" collapsed="false">
      <c r="B258" s="3" t="str">
        <f aca="false">IF(COUNTIF(Final_CB_ML6_V5!$B$2:$B$827,A258)&gt;=1,"YES","NO")</f>
        <v>NO</v>
      </c>
      <c r="C258" s="3" t="s">
        <v>1062</v>
      </c>
      <c r="D258" s="3" t="str">
        <f aca="false">IF(COUNTIF(Final_CB_ML6_V5!$C$2:$C$827,C258)&gt;=1,"YES","NO")</f>
        <v>YES</v>
      </c>
      <c r="G258" s="4"/>
      <c r="H258" s="4"/>
    </row>
    <row r="259" customFormat="false" ht="15.75" hidden="false" customHeight="false" outlineLevel="0" collapsed="false">
      <c r="B259" s="3" t="str">
        <f aca="false">IF(COUNTIF(Final_CB_ML6_V5!$B$2:$B$827,A259)&gt;=1,"YES","NO")</f>
        <v>NO</v>
      </c>
      <c r="C259" s="3" t="s">
        <v>1063</v>
      </c>
      <c r="D259" s="3" t="str">
        <f aca="false">IF(COUNTIF(Final_CB_ML6_V5!$C$2:$C$827,C259)&gt;=1,"YES","NO")</f>
        <v>YES</v>
      </c>
      <c r="G259" s="4"/>
      <c r="H259" s="4"/>
    </row>
    <row r="260" customFormat="false" ht="15.75" hidden="false" customHeight="false" outlineLevel="0" collapsed="false">
      <c r="B260" s="3" t="str">
        <f aca="false">IF(COUNTIF(Final_CB_ML6_V5!$B$2:$B$827,A260)&gt;=1,"YES","NO")</f>
        <v>NO</v>
      </c>
      <c r="C260" s="3" t="s">
        <v>948</v>
      </c>
      <c r="D260" s="3" t="str">
        <f aca="false">IF(COUNTIF(Final_CB_ML6_V5!$C$2:$C$827,C260)&gt;=1,"YES","NO")</f>
        <v>YES</v>
      </c>
      <c r="G260" s="4"/>
      <c r="H260" s="4"/>
    </row>
    <row r="261" customFormat="false" ht="15.75" hidden="false" customHeight="false" outlineLevel="0" collapsed="false">
      <c r="B261" s="3" t="str">
        <f aca="false">IF(COUNTIF(Final_CB_ML6_V5!$B$2:$B$827,A261)&gt;=1,"YES","NO")</f>
        <v>NO</v>
      </c>
      <c r="C261" s="3" t="s">
        <v>950</v>
      </c>
      <c r="D261" s="3" t="str">
        <f aca="false">IF(COUNTIF(Final_CB_ML6_V5!$C$2:$C$827,C261)&gt;=1,"YES","NO")</f>
        <v>YES</v>
      </c>
      <c r="G261" s="4"/>
      <c r="H261" s="4"/>
    </row>
    <row r="262" customFormat="false" ht="15.75" hidden="false" customHeight="false" outlineLevel="0" collapsed="false">
      <c r="B262" s="3" t="str">
        <f aca="false">IF(COUNTIF(Final_CB_ML6_V5!$B$2:$B$827,A262)&gt;=1,"YES","NO")</f>
        <v>NO</v>
      </c>
      <c r="C262" s="3" t="s">
        <v>1064</v>
      </c>
      <c r="D262" s="3" t="str">
        <f aca="false">IF(COUNTIF(Final_CB_ML6_V5!$C$2:$C$827,C262)&gt;=1,"YES","NO")</f>
        <v>YES</v>
      </c>
      <c r="G262" s="4"/>
      <c r="H262" s="4"/>
    </row>
    <row r="263" customFormat="false" ht="15.75" hidden="false" customHeight="false" outlineLevel="0" collapsed="false">
      <c r="B263" s="3" t="str">
        <f aca="false">IF(COUNTIF(Final_CB_ML6_V5!$B$2:$B$827,A263)&gt;=1,"YES","NO")</f>
        <v>NO</v>
      </c>
      <c r="C263" s="3" t="s">
        <v>1065</v>
      </c>
      <c r="D263" s="3" t="str">
        <f aca="false">IF(COUNTIF(Final_CB_ML6_V5!$C$2:$C$827,C263)&gt;=1,"YES","NO")</f>
        <v>YES</v>
      </c>
      <c r="G263" s="4"/>
      <c r="H263" s="4"/>
    </row>
    <row r="264" customFormat="false" ht="15.75" hidden="false" customHeight="false" outlineLevel="0" collapsed="false">
      <c r="B264" s="3" t="str">
        <f aca="false">IF(COUNTIF(Final_CB_ML6_V5!$B$2:$B$827,A264)&gt;=1,"YES","NO")</f>
        <v>NO</v>
      </c>
      <c r="C264" s="3" t="s">
        <v>1066</v>
      </c>
      <c r="D264" s="3" t="str">
        <f aca="false">IF(COUNTIF(Final_CB_ML6_V5!$C$2:$C$827,C264)&gt;=1,"YES","NO")</f>
        <v>YES</v>
      </c>
      <c r="G264" s="4"/>
      <c r="H264" s="4"/>
    </row>
    <row r="265" customFormat="false" ht="15.75" hidden="false" customHeight="false" outlineLevel="0" collapsed="false">
      <c r="B265" s="3" t="str">
        <f aca="false">IF(COUNTIF(Final_CB_ML6_V5!$B$2:$B$827,A265)&gt;=1,"YES","NO")</f>
        <v>NO</v>
      </c>
      <c r="C265" s="3" t="s">
        <v>951</v>
      </c>
      <c r="D265" s="3" t="str">
        <f aca="false">IF(COUNTIF(Final_CB_ML6_V5!$C$2:$C$827,C265)&gt;=1,"YES","NO")</f>
        <v>YES</v>
      </c>
      <c r="G265" s="4"/>
      <c r="H265" s="4"/>
    </row>
    <row r="266" customFormat="false" ht="15.75" hidden="false" customHeight="false" outlineLevel="0" collapsed="false">
      <c r="B266" s="3" t="str">
        <f aca="false">IF(COUNTIF(Final_CB_ML6_V5!$B$2:$B$827,A266)&gt;=1,"YES","NO")</f>
        <v>NO</v>
      </c>
      <c r="C266" s="3" t="s">
        <v>1067</v>
      </c>
      <c r="D266" s="3" t="str">
        <f aca="false">IF(COUNTIF(Final_CB_ML6_V5!$C$2:$C$827,C266)&gt;=1,"YES","NO")</f>
        <v>YES</v>
      </c>
      <c r="G266" s="4"/>
      <c r="H266" s="4"/>
    </row>
    <row r="267" customFormat="false" ht="15.75" hidden="false" customHeight="false" outlineLevel="0" collapsed="false">
      <c r="B267" s="3" t="str">
        <f aca="false">IF(COUNTIF(Final_CB_ML6_V5!$B$2:$B$827,A267)&gt;=1,"YES","NO")</f>
        <v>NO</v>
      </c>
      <c r="C267" s="3" t="s">
        <v>1068</v>
      </c>
      <c r="D267" s="3" t="str">
        <f aca="false">IF(COUNTIF(Final_CB_ML6_V5!$C$2:$C$827,C267)&gt;=1,"YES","NO")</f>
        <v>YES</v>
      </c>
      <c r="G267" s="4"/>
      <c r="H267" s="4"/>
    </row>
    <row r="268" customFormat="false" ht="15.75" hidden="false" customHeight="false" outlineLevel="0" collapsed="false">
      <c r="B268" s="3" t="str">
        <f aca="false">IF(COUNTIF(Final_CB_ML6_V5!$B$2:$B$827,A268)&gt;=1,"YES","NO")</f>
        <v>NO</v>
      </c>
      <c r="C268" s="3" t="s">
        <v>1069</v>
      </c>
      <c r="D268" s="3" t="str">
        <f aca="false">IF(COUNTIF(Final_CB_ML6_V5!$C$2:$C$827,C268)&gt;=1,"YES","NO")</f>
        <v>YES</v>
      </c>
      <c r="G268" s="4"/>
      <c r="H268" s="4"/>
    </row>
    <row r="269" customFormat="false" ht="15.75" hidden="false" customHeight="false" outlineLevel="0" collapsed="false">
      <c r="B269" s="3" t="str">
        <f aca="false">IF(COUNTIF(Final_CB_ML6_V5!$B$2:$B$827,A269)&gt;=1,"YES","NO")</f>
        <v>NO</v>
      </c>
      <c r="C269" s="3" t="s">
        <v>955</v>
      </c>
      <c r="D269" s="3" t="str">
        <f aca="false">IF(COUNTIF(Final_CB_ML6_V5!$C$2:$C$827,C269)&gt;=1,"YES","NO")</f>
        <v>YES</v>
      </c>
      <c r="G269" s="4"/>
      <c r="H269" s="4"/>
    </row>
    <row r="270" customFormat="false" ht="15.75" hidden="false" customHeight="false" outlineLevel="0" collapsed="false">
      <c r="B270" s="3" t="str">
        <f aca="false">IF(COUNTIF(Final_CB_ML6_V5!$B$2:$B$827,A270)&gt;=1,"YES","NO")</f>
        <v>NO</v>
      </c>
      <c r="C270" s="3" t="s">
        <v>1070</v>
      </c>
      <c r="D270" s="3" t="str">
        <f aca="false">IF(COUNTIF(Final_CB_ML6_V5!$C$2:$C$827,C270)&gt;=1,"YES","NO")</f>
        <v>YES</v>
      </c>
      <c r="G270" s="4"/>
      <c r="H270" s="4"/>
    </row>
    <row r="271" customFormat="false" ht="15.75" hidden="false" customHeight="false" outlineLevel="0" collapsed="false">
      <c r="B271" s="3" t="str">
        <f aca="false">IF(COUNTIF(Final_CB_ML6_V5!$B$2:$B$827,A271)&gt;=1,"YES","NO")</f>
        <v>NO</v>
      </c>
      <c r="C271" s="3" t="s">
        <v>958</v>
      </c>
      <c r="D271" s="3" t="str">
        <f aca="false">IF(COUNTIF(Final_CB_ML6_V5!$C$2:$C$827,C271)&gt;=1,"YES","NO")</f>
        <v>YES</v>
      </c>
      <c r="G271" s="4"/>
      <c r="H271" s="4"/>
    </row>
    <row r="272" customFormat="false" ht="15.75" hidden="false" customHeight="false" outlineLevel="0" collapsed="false">
      <c r="B272" s="3" t="str">
        <f aca="false">IF(COUNTIF(Final_CB_ML6_V5!$B$2:$B$827,A272)&gt;=1,"YES","NO")</f>
        <v>NO</v>
      </c>
      <c r="C272" s="3" t="s">
        <v>960</v>
      </c>
      <c r="D272" s="3" t="str">
        <f aca="false">IF(COUNTIF(Final_CB_ML6_V5!$C$2:$C$827,C272)&gt;=1,"YES","NO")</f>
        <v>YES</v>
      </c>
      <c r="G272" s="4"/>
      <c r="H272" s="4"/>
    </row>
    <row r="273" customFormat="false" ht="15.75" hidden="false" customHeight="false" outlineLevel="0" collapsed="false">
      <c r="B273" s="3" t="str">
        <f aca="false">IF(COUNTIF(Final_CB_ML6_V5!$B$2:$B$827,A273)&gt;=1,"YES","NO")</f>
        <v>NO</v>
      </c>
      <c r="C273" s="3" t="s">
        <v>962</v>
      </c>
      <c r="D273" s="3" t="str">
        <f aca="false">IF(COUNTIF(Final_CB_ML6_V5!$C$2:$C$827,C273)&gt;=1,"YES","NO")</f>
        <v>YES</v>
      </c>
      <c r="G273" s="4"/>
      <c r="H273" s="4"/>
    </row>
    <row r="274" customFormat="false" ht="15.75" hidden="false" customHeight="false" outlineLevel="0" collapsed="false">
      <c r="B274" s="3" t="str">
        <f aca="false">IF(COUNTIF(Final_CB_ML6_V5!$B$2:$B$827,A274)&gt;=1,"YES","NO")</f>
        <v>NO</v>
      </c>
      <c r="C274" s="3" t="s">
        <v>1071</v>
      </c>
      <c r="D274" s="3" t="str">
        <f aca="false">IF(COUNTIF(Final_CB_ML6_V5!$C$2:$C$827,C274)&gt;=1,"YES","NO")</f>
        <v>YES</v>
      </c>
      <c r="G274" s="4"/>
      <c r="H274" s="4"/>
    </row>
    <row r="275" customFormat="false" ht="15.75" hidden="false" customHeight="false" outlineLevel="0" collapsed="false">
      <c r="B275" s="3" t="str">
        <f aca="false">IF(COUNTIF(Final_CB_ML6_V5!$B$2:$B$827,A275)&gt;=1,"YES","NO")</f>
        <v>NO</v>
      </c>
      <c r="C275" s="3" t="s">
        <v>1072</v>
      </c>
      <c r="D275" s="3" t="str">
        <f aca="false">IF(COUNTIF(Final_CB_ML6_V5!$C$2:$C$827,C275)&gt;=1,"YES","NO")</f>
        <v>YES</v>
      </c>
      <c r="G275" s="4"/>
      <c r="H275" s="4"/>
    </row>
    <row r="276" customFormat="false" ht="15.75" hidden="false" customHeight="false" outlineLevel="0" collapsed="false">
      <c r="B276" s="3" t="str">
        <f aca="false">IF(COUNTIF(Final_CB_ML6_V5!$B$2:$B$827,A276)&gt;=1,"YES","NO")</f>
        <v>NO</v>
      </c>
      <c r="C276" s="3" t="s">
        <v>1073</v>
      </c>
      <c r="D276" s="3" t="str">
        <f aca="false">IF(COUNTIF(Final_CB_ML6_V5!$C$2:$C$827,C276)&gt;=1,"YES","NO")</f>
        <v>YES</v>
      </c>
      <c r="G276" s="4"/>
      <c r="H276" s="4"/>
    </row>
    <row r="277" customFormat="false" ht="15.75" hidden="false" customHeight="false" outlineLevel="0" collapsed="false">
      <c r="B277" s="3" t="str">
        <f aca="false">IF(COUNTIF(Final_CB_ML6_V5!$B$2:$B$827,A277)&gt;=1,"YES","NO")</f>
        <v>NO</v>
      </c>
      <c r="C277" s="3" t="s">
        <v>1074</v>
      </c>
      <c r="D277" s="3" t="str">
        <f aca="false">IF(COUNTIF(Final_CB_ML6_V5!$C$2:$C$827,C277)&gt;=1,"YES","NO")</f>
        <v>YES</v>
      </c>
      <c r="G277" s="4"/>
      <c r="H277" s="4"/>
    </row>
    <row r="278" customFormat="false" ht="15.75" hidden="false" customHeight="false" outlineLevel="0" collapsed="false">
      <c r="B278" s="3" t="str">
        <f aca="false">IF(COUNTIF(Final_CB_ML6_V5!$B$2:$B$827,A278)&gt;=1,"YES","NO")</f>
        <v>NO</v>
      </c>
      <c r="C278" s="3" t="s">
        <v>1075</v>
      </c>
      <c r="D278" s="3" t="str">
        <f aca="false">IF(COUNTIF(Final_CB_ML6_V5!$C$2:$C$827,C278)&gt;=1,"YES","NO")</f>
        <v>YES</v>
      </c>
      <c r="G278" s="4"/>
      <c r="H278" s="4"/>
    </row>
    <row r="279" customFormat="false" ht="15.75" hidden="false" customHeight="false" outlineLevel="0" collapsed="false">
      <c r="B279" s="3" t="str">
        <f aca="false">IF(COUNTIF(Final_CB_ML6_V5!$B$2:$B$827,A279)&gt;=1,"YES","NO")</f>
        <v>NO</v>
      </c>
      <c r="C279" s="3" t="s">
        <v>1076</v>
      </c>
      <c r="D279" s="3" t="str">
        <f aca="false">IF(COUNTIF(Final_CB_ML6_V5!$C$2:$C$827,C279)&gt;=1,"YES","NO")</f>
        <v>YES</v>
      </c>
      <c r="G279" s="4"/>
      <c r="H279" s="4"/>
    </row>
    <row r="280" customFormat="false" ht="15.75" hidden="false" customHeight="false" outlineLevel="0" collapsed="false">
      <c r="B280" s="3" t="str">
        <f aca="false">IF(COUNTIF(Final_CB_ML6_V5!$B$2:$B$827,A280)&gt;=1,"YES","NO")</f>
        <v>NO</v>
      </c>
      <c r="C280" s="3" t="s">
        <v>1077</v>
      </c>
      <c r="D280" s="3" t="str">
        <f aca="false">IF(COUNTIF(Final_CB_ML6_V5!$C$2:$C$827,C280)&gt;=1,"YES","NO")</f>
        <v>YES</v>
      </c>
      <c r="G280" s="4"/>
      <c r="H280" s="4"/>
    </row>
    <row r="281" customFormat="false" ht="15.75" hidden="false" customHeight="false" outlineLevel="0" collapsed="false">
      <c r="B281" s="3" t="str">
        <f aca="false">IF(COUNTIF(Final_CB_ML6_V5!$B$2:$B$827,A281)&gt;=1,"YES","NO")</f>
        <v>NO</v>
      </c>
      <c r="C281" s="3" t="s">
        <v>1078</v>
      </c>
      <c r="D281" s="3" t="str">
        <f aca="false">IF(COUNTIF(Final_CB_ML6_V5!$C$2:$C$827,C281)&gt;=1,"YES","NO")</f>
        <v>YES</v>
      </c>
      <c r="G281" s="4"/>
      <c r="H281" s="4"/>
    </row>
    <row r="282" customFormat="false" ht="15.75" hidden="false" customHeight="false" outlineLevel="0" collapsed="false">
      <c r="B282" s="3" t="str">
        <f aca="false">IF(COUNTIF(Final_CB_ML6_V5!$B$2:$B$827,A282)&gt;=1,"YES","NO")</f>
        <v>NO</v>
      </c>
      <c r="C282" s="3" t="s">
        <v>1079</v>
      </c>
      <c r="D282" s="3" t="str">
        <f aca="false">IF(COUNTIF(Final_CB_ML6_V5!$C$2:$C$827,C282)&gt;=1,"YES","NO")</f>
        <v>YES</v>
      </c>
      <c r="G282" s="4"/>
      <c r="H282" s="4"/>
    </row>
    <row r="283" customFormat="false" ht="15.75" hidden="false" customHeight="false" outlineLevel="0" collapsed="false">
      <c r="B283" s="3" t="str">
        <f aca="false">IF(COUNTIF(Final_CB_ML6_V5!$B$2:$B$827,A283)&gt;=1,"YES","NO")</f>
        <v>NO</v>
      </c>
      <c r="C283" s="3" t="s">
        <v>1080</v>
      </c>
      <c r="D283" s="3" t="str">
        <f aca="false">IF(COUNTIF(Final_CB_ML6_V5!$C$2:$C$827,C283)&gt;=1,"YES","NO")</f>
        <v>YES</v>
      </c>
      <c r="G283" s="4"/>
      <c r="H283" s="4"/>
    </row>
    <row r="284" customFormat="false" ht="15.75" hidden="false" customHeight="false" outlineLevel="0" collapsed="false">
      <c r="B284" s="3" t="str">
        <f aca="false">IF(COUNTIF(Final_CB_ML6_V5!$B$2:$B$827,A284)&gt;=1,"YES","NO")</f>
        <v>NO</v>
      </c>
      <c r="C284" s="3" t="s">
        <v>1081</v>
      </c>
      <c r="D284" s="3" t="str">
        <f aca="false">IF(COUNTIF(Final_CB_ML6_V5!$C$2:$C$827,C284)&gt;=1,"YES","NO")</f>
        <v>YES</v>
      </c>
      <c r="G284" s="4"/>
      <c r="H284" s="4"/>
    </row>
    <row r="285" customFormat="false" ht="15.75" hidden="false" customHeight="false" outlineLevel="0" collapsed="false">
      <c r="B285" s="3" t="str">
        <f aca="false">IF(COUNTIF(Final_CB_ML6_V5!$B$2:$B$827,A285)&gt;=1,"YES","NO")</f>
        <v>NO</v>
      </c>
      <c r="C285" s="3" t="s">
        <v>1082</v>
      </c>
      <c r="D285" s="3" t="str">
        <f aca="false">IF(COUNTIF(Final_CB_ML6_V5!$C$2:$C$827,C285)&gt;=1,"YES","NO")</f>
        <v>YES</v>
      </c>
      <c r="G285" s="4"/>
      <c r="H285" s="4"/>
    </row>
    <row r="286" customFormat="false" ht="15.75" hidden="false" customHeight="false" outlineLevel="0" collapsed="false">
      <c r="B286" s="3" t="str">
        <f aca="false">IF(COUNTIF(Final_CB_ML6_V5!$B$2:$B$827,A286)&gt;=1,"YES","NO")</f>
        <v>NO</v>
      </c>
      <c r="C286" s="3" t="s">
        <v>1083</v>
      </c>
      <c r="D286" s="3" t="str">
        <f aca="false">IF(COUNTIF(Final_CB_ML6_V5!$C$2:$C$827,C286)&gt;=1,"YES","NO")</f>
        <v>YES</v>
      </c>
      <c r="G286" s="4"/>
      <c r="H286" s="4"/>
    </row>
    <row r="287" customFormat="false" ht="15.75" hidden="false" customHeight="false" outlineLevel="0" collapsed="false">
      <c r="B287" s="3" t="str">
        <f aca="false">IF(COUNTIF(Final_CB_ML6_V5!$B$2:$B$827,A287)&gt;=1,"YES","NO")</f>
        <v>NO</v>
      </c>
      <c r="C287" s="3" t="s">
        <v>1084</v>
      </c>
      <c r="D287" s="3" t="str">
        <f aca="false">IF(COUNTIF(Final_CB_ML6_V5!$C$2:$C$827,C287)&gt;=1,"YES","NO")</f>
        <v>YES</v>
      </c>
      <c r="G287" s="4"/>
      <c r="H287" s="4"/>
    </row>
    <row r="288" customFormat="false" ht="15.75" hidden="false" customHeight="false" outlineLevel="0" collapsed="false">
      <c r="B288" s="3" t="str">
        <f aca="false">IF(COUNTIF(Final_CB_ML6_V5!$B$2:$B$827,A288)&gt;=1,"YES","NO")</f>
        <v>NO</v>
      </c>
      <c r="C288" s="3" t="s">
        <v>1085</v>
      </c>
      <c r="D288" s="3" t="str">
        <f aca="false">IF(COUNTIF(Final_CB_ML6_V5!$C$2:$C$827,C288)&gt;=1,"YES","NO")</f>
        <v>YES</v>
      </c>
      <c r="G288" s="4"/>
      <c r="H288" s="4"/>
    </row>
    <row r="289" customFormat="false" ht="15.75" hidden="false" customHeight="false" outlineLevel="0" collapsed="false">
      <c r="B289" s="3" t="str">
        <f aca="false">IF(COUNTIF(Final_CB_ML6_V5!$B$2:$B$827,A289)&gt;=1,"YES","NO")</f>
        <v>NO</v>
      </c>
      <c r="C289" s="3" t="s">
        <v>1086</v>
      </c>
      <c r="D289" s="3" t="str">
        <f aca="false">IF(COUNTIF(Final_CB_ML6_V5!$C$2:$C$827,C289)&gt;=1,"YES","NO")</f>
        <v>YES</v>
      </c>
      <c r="G289" s="4"/>
      <c r="H289" s="4"/>
    </row>
    <row r="290" customFormat="false" ht="15.75" hidden="false" customHeight="false" outlineLevel="0" collapsed="false">
      <c r="B290" s="3" t="str">
        <f aca="false">IF(COUNTIF(Final_CB_ML6_V5!$B$2:$B$827,A290)&gt;=1,"YES","NO")</f>
        <v>NO</v>
      </c>
      <c r="C290" s="3" t="s">
        <v>974</v>
      </c>
      <c r="D290" s="3" t="str">
        <f aca="false">IF(COUNTIF(Final_CB_ML6_V5!$C$2:$C$827,C290)&gt;=1,"YES","NO")</f>
        <v>YES</v>
      </c>
      <c r="G290" s="4"/>
      <c r="H290" s="4"/>
    </row>
    <row r="291" customFormat="false" ht="15.75" hidden="false" customHeight="false" outlineLevel="0" collapsed="false">
      <c r="B291" s="3" t="str">
        <f aca="false">IF(COUNTIF(Final_CB_ML6_V5!$B$2:$B$827,A291)&gt;=1,"YES","NO")</f>
        <v>NO</v>
      </c>
      <c r="C291" s="3" t="s">
        <v>1087</v>
      </c>
      <c r="D291" s="3" t="str">
        <f aca="false">IF(COUNTIF(Final_CB_ML6_V5!$C$2:$C$827,C291)&gt;=1,"YES","NO")</f>
        <v>YES</v>
      </c>
      <c r="G291" s="4"/>
      <c r="H291" s="4"/>
    </row>
    <row r="292" customFormat="false" ht="15.75" hidden="false" customHeight="false" outlineLevel="0" collapsed="false">
      <c r="B292" s="3" t="str">
        <f aca="false">IF(COUNTIF(Final_CB_ML6_V5!$B$2:$B$827,A292)&gt;=1,"YES","NO")</f>
        <v>NO</v>
      </c>
      <c r="C292" s="3" t="s">
        <v>976</v>
      </c>
      <c r="D292" s="3" t="str">
        <f aca="false">IF(COUNTIF(Final_CB_ML6_V5!$C$2:$C$827,C292)&gt;=1,"YES","NO")</f>
        <v>YES</v>
      </c>
      <c r="G292" s="4"/>
      <c r="H292" s="4"/>
    </row>
    <row r="293" customFormat="false" ht="15.75" hidden="false" customHeight="false" outlineLevel="0" collapsed="false">
      <c r="B293" s="3" t="str">
        <f aca="false">IF(COUNTIF(Final_CB_ML6_V5!$B$2:$B$827,A293)&gt;=1,"YES","NO")</f>
        <v>NO</v>
      </c>
      <c r="C293" s="3" t="s">
        <v>1088</v>
      </c>
      <c r="D293" s="3" t="str">
        <f aca="false">IF(COUNTIF(Final_CB_ML6_V5!$C$2:$C$827,C293)&gt;=1,"YES","NO")</f>
        <v>YES</v>
      </c>
      <c r="G293" s="4"/>
      <c r="H293" s="4"/>
    </row>
    <row r="294" customFormat="false" ht="15.75" hidden="false" customHeight="false" outlineLevel="0" collapsed="false">
      <c r="B294" s="3" t="str">
        <f aca="false">IF(COUNTIF(Final_CB_ML6_V5!$B$2:$B$827,A294)&gt;=1,"YES","NO")</f>
        <v>NO</v>
      </c>
      <c r="C294" s="3" t="s">
        <v>1089</v>
      </c>
      <c r="D294" s="3" t="str">
        <f aca="false">IF(COUNTIF(Final_CB_ML6_V5!$C$2:$C$827,C294)&gt;=1,"YES","NO")</f>
        <v>YES</v>
      </c>
      <c r="G294" s="4"/>
      <c r="H294" s="4"/>
    </row>
    <row r="295" customFormat="false" ht="15.75" hidden="false" customHeight="false" outlineLevel="0" collapsed="false">
      <c r="B295" s="3" t="str">
        <f aca="false">IF(COUNTIF(Final_CB_ML6_V5!$B$2:$B$827,A295)&gt;=1,"YES","NO")</f>
        <v>NO</v>
      </c>
      <c r="C295" s="3" t="s">
        <v>1090</v>
      </c>
      <c r="D295" s="3" t="str">
        <f aca="false">IF(COUNTIF(Final_CB_ML6_V5!$C$2:$C$827,C295)&gt;=1,"YES","NO")</f>
        <v>YES</v>
      </c>
      <c r="G295" s="4"/>
      <c r="H295" s="4"/>
    </row>
    <row r="296" customFormat="false" ht="15.75" hidden="false" customHeight="false" outlineLevel="0" collapsed="false">
      <c r="B296" s="3" t="str">
        <f aca="false">IF(COUNTIF(Final_CB_ML6_V5!$B$2:$B$827,A296)&gt;=1,"YES","NO")</f>
        <v>NO</v>
      </c>
      <c r="C296" s="3" t="s">
        <v>1091</v>
      </c>
      <c r="D296" s="3" t="str">
        <f aca="false">IF(COUNTIF(Final_CB_ML6_V5!$C$2:$C$827,C296)&gt;=1,"YES","NO")</f>
        <v>YES</v>
      </c>
      <c r="G296" s="4"/>
      <c r="H296" s="4"/>
    </row>
    <row r="297" customFormat="false" ht="15.75" hidden="false" customHeight="false" outlineLevel="0" collapsed="false">
      <c r="B297" s="3" t="str">
        <f aca="false">IF(COUNTIF(Final_CB_ML6_V5!$B$2:$B$827,A297)&gt;=1,"YES","NO")</f>
        <v>NO</v>
      </c>
      <c r="C297" s="3" t="s">
        <v>1092</v>
      </c>
      <c r="D297" s="3" t="str">
        <f aca="false">IF(COUNTIF(Final_CB_ML6_V5!$C$2:$C$827,C297)&gt;=1,"YES","NO")</f>
        <v>YES</v>
      </c>
      <c r="G297" s="4"/>
      <c r="H297" s="4"/>
    </row>
    <row r="298" customFormat="false" ht="15.75" hidden="false" customHeight="false" outlineLevel="0" collapsed="false">
      <c r="B298" s="3" t="str">
        <f aca="false">IF(COUNTIF(Final_CB_ML6_V5!$B$2:$B$827,A298)&gt;=1,"YES","NO")</f>
        <v>NO</v>
      </c>
      <c r="C298" s="3" t="s">
        <v>1093</v>
      </c>
      <c r="D298" s="3" t="str">
        <f aca="false">IF(COUNTIF(Final_CB_ML6_V5!$C$2:$C$827,C298)&gt;=1,"YES","NO")</f>
        <v>YES</v>
      </c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  <row r="628" customFormat="false" ht="15.75" hidden="false" customHeight="false" outlineLevel="0" collapsed="false">
      <c r="G628" s="4"/>
      <c r="H628" s="4"/>
    </row>
  </sheetData>
  <conditionalFormatting sqref="A2:A1000 C2:C12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dataValidations count="1">
    <dataValidation allowBlank="true" errorStyle="stop" operator="between" showDropDown="false" showErrorMessage="false" showInputMessage="false" sqref="A154:A155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4"/>
      <c r="B2" s="3"/>
      <c r="C2" s="3"/>
    </row>
    <row r="3" customFormat="false" ht="15.75" hidden="false" customHeight="false" outlineLevel="0" collapsed="false">
      <c r="A3" s="3" t="s">
        <v>1094</v>
      </c>
      <c r="B3" s="3" t="s">
        <v>756</v>
      </c>
      <c r="C3" s="3" t="s">
        <v>812</v>
      </c>
    </row>
    <row r="4" customFormat="false" ht="15.75" hidden="false" customHeight="false" outlineLevel="0" collapsed="false">
      <c r="A4" s="3" t="s">
        <v>1095</v>
      </c>
      <c r="B4" s="3" t="s">
        <v>728</v>
      </c>
      <c r="C4" s="3"/>
    </row>
    <row r="5" customFormat="false" ht="15.75" hidden="false" customHeight="false" outlineLevel="0" collapsed="false">
      <c r="A5" s="3" t="s">
        <v>1095</v>
      </c>
      <c r="B5" s="3" t="s">
        <v>769</v>
      </c>
      <c r="C5" s="3" t="s">
        <v>769</v>
      </c>
    </row>
    <row r="6" customFormat="false" ht="15.75" hidden="false" customHeight="false" outlineLevel="0" collapsed="false">
      <c r="A6" s="3" t="s">
        <v>1095</v>
      </c>
      <c r="B6" s="3"/>
      <c r="C6" s="3" t="s">
        <v>915</v>
      </c>
    </row>
    <row r="7" customFormat="false" ht="15.75" hidden="false" customHeight="false" outlineLevel="0" collapsed="false">
      <c r="A7" s="3" t="s">
        <v>1095</v>
      </c>
      <c r="B7" s="3" t="s">
        <v>1096</v>
      </c>
      <c r="C7" s="3" t="s">
        <v>954</v>
      </c>
    </row>
    <row r="8" customFormat="false" ht="15.75" hidden="false" customHeight="false" outlineLevel="0" collapsed="false">
      <c r="A8" s="3" t="s">
        <v>1097</v>
      </c>
      <c r="B8" s="3"/>
      <c r="C8" s="3" t="s">
        <v>998</v>
      </c>
    </row>
    <row r="9" customFormat="false" ht="15.75" hidden="false" customHeight="false" outlineLevel="0" collapsed="false">
      <c r="A9" s="3" t="s">
        <v>1097</v>
      </c>
      <c r="B9" s="3"/>
      <c r="C9" s="3" t="s">
        <v>1001</v>
      </c>
    </row>
    <row r="10" customFormat="false" ht="15.75" hidden="false" customHeight="false" outlineLevel="0" collapsed="false">
      <c r="A10" s="3" t="s">
        <v>1097</v>
      </c>
      <c r="B10" s="3"/>
      <c r="C10" s="3" t="s">
        <v>1002</v>
      </c>
    </row>
    <row r="11" customFormat="false" ht="15.75" hidden="false" customHeight="false" outlineLevel="0" collapsed="false">
      <c r="A11" s="3" t="s">
        <v>1097</v>
      </c>
      <c r="B11" s="3"/>
      <c r="C11" s="3" t="s">
        <v>1003</v>
      </c>
    </row>
    <row r="12" customFormat="false" ht="15.75" hidden="false" customHeight="false" outlineLevel="0" collapsed="false">
      <c r="A12" s="3" t="s">
        <v>1095</v>
      </c>
      <c r="B12" s="3"/>
      <c r="C12" s="3" t="s">
        <v>1059</v>
      </c>
    </row>
    <row r="13" customFormat="false" ht="15.75" hidden="false" customHeight="false" outlineLevel="0" collapsed="false">
      <c r="A13" s="3" t="s">
        <v>1094</v>
      </c>
      <c r="B13" s="3" t="s">
        <v>733</v>
      </c>
      <c r="C13" s="3" t="s">
        <v>1035</v>
      </c>
    </row>
    <row r="14" customFormat="false" ht="15.75" hidden="false" customHeight="false" outlineLevel="0" collapsed="false">
      <c r="A14" s="3" t="s">
        <v>1094</v>
      </c>
      <c r="B14" s="3" t="s">
        <v>939</v>
      </c>
      <c r="C14" s="3" t="s">
        <v>939</v>
      </c>
    </row>
    <row r="15" customFormat="false" ht="15.75" hidden="false" customHeight="false" outlineLevel="0" collapsed="false">
      <c r="A15" s="3" t="s">
        <v>1098</v>
      </c>
      <c r="B15" s="3" t="s">
        <v>977</v>
      </c>
      <c r="C15" s="3" t="s">
        <v>1092</v>
      </c>
    </row>
    <row r="16" customFormat="false" ht="15.75" hidden="false" customHeight="false" outlineLevel="0" collapsed="false">
      <c r="A16" s="4"/>
      <c r="B16" s="3"/>
      <c r="C16" s="3"/>
    </row>
    <row r="17" customFormat="false" ht="15.75" hidden="false" customHeight="false" outlineLevel="0" collapsed="false">
      <c r="A17" s="4"/>
      <c r="B17" s="3"/>
      <c r="C17" s="3"/>
    </row>
    <row r="18" customFormat="false" ht="15.75" hidden="false" customHeight="false" outlineLevel="0" collapsed="false">
      <c r="A18" s="3" t="s">
        <v>284</v>
      </c>
      <c r="B18" s="3" t="s">
        <v>844</v>
      </c>
      <c r="C18" s="3"/>
    </row>
    <row r="19" customFormat="false" ht="15.75" hidden="false" customHeight="false" outlineLevel="0" collapsed="false">
      <c r="A19" s="3" t="s">
        <v>1099</v>
      </c>
      <c r="B19" s="3" t="s">
        <v>972</v>
      </c>
      <c r="C19" s="3"/>
    </row>
    <row r="20" customFormat="false" ht="15.75" hidden="false" customHeight="false" outlineLevel="0" collapsed="false">
      <c r="A20" s="3" t="s">
        <v>1099</v>
      </c>
      <c r="C20" s="3" t="s">
        <v>1036</v>
      </c>
    </row>
    <row r="21" customFormat="false" ht="15.75" hidden="false" customHeight="false" outlineLevel="0" collapsed="false">
      <c r="A21" s="3" t="s">
        <v>282</v>
      </c>
      <c r="B21" s="3"/>
      <c r="C21" s="3" t="s">
        <v>1020</v>
      </c>
    </row>
    <row r="22" customFormat="false" ht="15.75" hidden="false" customHeight="false" outlineLevel="0" collapsed="false">
      <c r="A22" s="3"/>
      <c r="B22" s="3"/>
      <c r="C22" s="3"/>
    </row>
    <row r="23" customFormat="false" ht="15.75" hidden="false" customHeight="false" outlineLevel="0" collapsed="false">
      <c r="A23" s="3" t="s">
        <v>1100</v>
      </c>
      <c r="B23" s="3" t="s">
        <v>864</v>
      </c>
      <c r="C23" s="3"/>
    </row>
    <row r="24" customFormat="false" ht="15.75" hidden="false" customHeight="false" outlineLevel="0" collapsed="false">
      <c r="A24" s="3" t="s">
        <v>1100</v>
      </c>
      <c r="B24" s="3" t="s">
        <v>865</v>
      </c>
      <c r="C24" s="3"/>
    </row>
    <row r="25" customFormat="false" ht="15.75" hidden="false" customHeight="false" outlineLevel="0" collapsed="false">
      <c r="A25" s="3"/>
      <c r="B25" s="3"/>
      <c r="C25" s="3"/>
    </row>
    <row r="26" customFormat="false" ht="15.75" hidden="false" customHeight="false" outlineLevel="0" collapsed="false">
      <c r="A26" s="3"/>
      <c r="B26" s="3"/>
      <c r="C26" s="3"/>
    </row>
    <row r="27" customFormat="false" ht="15.75" hidden="false" customHeight="false" outlineLevel="0" collapsed="false">
      <c r="A27" s="3" t="s">
        <v>1101</v>
      </c>
      <c r="B27" s="3" t="s">
        <v>854</v>
      </c>
      <c r="C27" s="3"/>
    </row>
    <row r="28" customFormat="false" ht="15.75" hidden="false" customHeight="false" outlineLevel="0" collapsed="false">
      <c r="A28" s="3" t="s">
        <v>292</v>
      </c>
      <c r="B28" s="3"/>
      <c r="C28" s="3" t="s">
        <v>996</v>
      </c>
    </row>
    <row r="29" customFormat="false" ht="15.75" hidden="false" customHeight="false" outlineLevel="0" collapsed="false">
      <c r="A29" s="3" t="s">
        <v>290</v>
      </c>
      <c r="B29" s="3"/>
      <c r="C29" s="3" t="s">
        <v>792</v>
      </c>
    </row>
    <row r="30" customFormat="false" ht="15.75" hidden="false" customHeight="false" outlineLevel="0" collapsed="false">
      <c r="A30" s="3" t="s">
        <v>289</v>
      </c>
      <c r="B30" s="3"/>
      <c r="C30" s="3" t="s">
        <v>1056</v>
      </c>
    </row>
    <row r="31" customFormat="false" ht="15.75" hidden="false" customHeight="false" outlineLevel="0" collapsed="false">
      <c r="A31" s="3" t="s">
        <v>289</v>
      </c>
      <c r="B31" s="3" t="s">
        <v>858</v>
      </c>
      <c r="C31" s="3" t="s">
        <v>847</v>
      </c>
    </row>
    <row r="32" customFormat="false" ht="15.75" hidden="false" customHeight="false" outlineLevel="0" collapsed="false">
      <c r="A32" s="3" t="s">
        <v>289</v>
      </c>
      <c r="B32" s="3" t="s">
        <v>858</v>
      </c>
      <c r="C32" s="3" t="s">
        <v>828</v>
      </c>
    </row>
    <row r="33" customFormat="false" ht="15.75" hidden="false" customHeight="false" outlineLevel="0" collapsed="false">
      <c r="A33" s="3" t="s">
        <v>289</v>
      </c>
      <c r="B33" s="3" t="s">
        <v>877</v>
      </c>
      <c r="C33" s="3"/>
    </row>
    <row r="34" customFormat="false" ht="15.75" hidden="false" customHeight="false" outlineLevel="0" collapsed="false">
      <c r="A34" s="3" t="s">
        <v>289</v>
      </c>
      <c r="B34" s="3" t="s">
        <v>879</v>
      </c>
      <c r="C34" s="3"/>
    </row>
    <row r="35" customFormat="false" ht="15.75" hidden="false" customHeight="false" outlineLevel="0" collapsed="false">
      <c r="A35" s="3" t="s">
        <v>289</v>
      </c>
      <c r="B35" s="3" t="s">
        <v>877</v>
      </c>
    </row>
    <row r="36" customFormat="false" ht="15.75" hidden="false" customHeight="false" outlineLevel="0" collapsed="false">
      <c r="A36" s="3" t="s">
        <v>289</v>
      </c>
      <c r="B36" s="3"/>
      <c r="C36" s="3" t="s">
        <v>988</v>
      </c>
    </row>
    <row r="37" customFormat="false" ht="15.75" hidden="false" customHeight="false" outlineLevel="0" collapsed="false">
      <c r="A37" s="3" t="s">
        <v>289</v>
      </c>
      <c r="B37" s="3"/>
      <c r="C37" s="3" t="s">
        <v>989</v>
      </c>
    </row>
    <row r="38" customFormat="false" ht="15.75" hidden="false" customHeight="false" outlineLevel="0" collapsed="false">
      <c r="A38" s="3" t="s">
        <v>289</v>
      </c>
      <c r="B38" s="3"/>
      <c r="C38" s="3" t="s">
        <v>990</v>
      </c>
    </row>
    <row r="39" customFormat="false" ht="15.75" hidden="false" customHeight="false" outlineLevel="0" collapsed="false">
      <c r="A39" s="3" t="s">
        <v>289</v>
      </c>
      <c r="B39" s="3"/>
      <c r="C39" s="3" t="s">
        <v>991</v>
      </c>
    </row>
    <row r="40" customFormat="false" ht="15.75" hidden="false" customHeight="false" outlineLevel="0" collapsed="false">
      <c r="A40" s="3" t="s">
        <v>289</v>
      </c>
      <c r="B40" s="3"/>
      <c r="C40" s="3" t="s">
        <v>992</v>
      </c>
    </row>
    <row r="41" customFormat="false" ht="15.75" hidden="false" customHeight="false" outlineLevel="0" collapsed="false">
      <c r="A41" s="3" t="s">
        <v>289</v>
      </c>
      <c r="B41" s="3"/>
      <c r="C41" s="3" t="s">
        <v>993</v>
      </c>
    </row>
    <row r="42" customFormat="false" ht="15.75" hidden="false" customHeight="false" outlineLevel="0" collapsed="false">
      <c r="A42" s="3" t="s">
        <v>289</v>
      </c>
      <c r="B42" s="3"/>
      <c r="C42" s="3" t="s">
        <v>994</v>
      </c>
    </row>
    <row r="43" customFormat="false" ht="15.75" hidden="false" customHeight="false" outlineLevel="0" collapsed="false">
      <c r="A43" s="3" t="s">
        <v>289</v>
      </c>
      <c r="B43" s="3" t="s">
        <v>873</v>
      </c>
      <c r="C43" s="3" t="s">
        <v>1083</v>
      </c>
    </row>
    <row r="44" customFormat="false" ht="15.75" hidden="false" customHeight="false" outlineLevel="0" collapsed="false">
      <c r="A44" s="3" t="s">
        <v>289</v>
      </c>
      <c r="B44" s="3" t="s">
        <v>836</v>
      </c>
      <c r="C44" s="3"/>
    </row>
    <row r="45" customFormat="false" ht="15.75" hidden="false" customHeight="false" outlineLevel="0" collapsed="false">
      <c r="A45" s="3" t="s">
        <v>291</v>
      </c>
      <c r="B45" s="3" t="s">
        <v>734</v>
      </c>
      <c r="C45" s="3"/>
    </row>
    <row r="46" customFormat="false" ht="15.75" hidden="false" customHeight="false" outlineLevel="0" collapsed="false">
      <c r="A46" s="3" t="s">
        <v>289</v>
      </c>
      <c r="B46" s="3" t="s">
        <v>1102</v>
      </c>
      <c r="C46" s="3" t="s">
        <v>1102</v>
      </c>
    </row>
    <row r="47" customFormat="false" ht="15.75" hidden="false" customHeight="false" outlineLevel="0" collapsed="false">
      <c r="A47" s="3" t="s">
        <v>289</v>
      </c>
      <c r="B47" s="3" t="s">
        <v>828</v>
      </c>
      <c r="C47" s="3" t="s">
        <v>828</v>
      </c>
    </row>
    <row r="48" customFormat="false" ht="15.75" hidden="false" customHeight="false" outlineLevel="0" collapsed="false">
      <c r="A48" s="3" t="s">
        <v>289</v>
      </c>
      <c r="B48" s="3" t="s">
        <v>1103</v>
      </c>
      <c r="C48" s="3" t="s">
        <v>1103</v>
      </c>
    </row>
    <row r="49" customFormat="false" ht="15.75" hidden="false" customHeight="false" outlineLevel="0" collapsed="false">
      <c r="A49" s="3" t="s">
        <v>289</v>
      </c>
      <c r="B49" s="3" t="s">
        <v>831</v>
      </c>
      <c r="C49" s="3"/>
    </row>
    <row r="50" customFormat="false" ht="15.75" hidden="false" customHeight="false" outlineLevel="0" collapsed="false">
      <c r="A50" s="3" t="s">
        <v>289</v>
      </c>
      <c r="B50" s="3" t="s">
        <v>833</v>
      </c>
      <c r="C50" s="3"/>
    </row>
    <row r="51" customFormat="false" ht="15.75" hidden="false" customHeight="false" outlineLevel="0" collapsed="false">
      <c r="A51" s="3" t="s">
        <v>289</v>
      </c>
      <c r="B51" s="3" t="s">
        <v>834</v>
      </c>
      <c r="C51" s="3"/>
    </row>
    <row r="52" customFormat="false" ht="15.75" hidden="false" customHeight="false" outlineLevel="0" collapsed="false">
      <c r="A52" s="3" t="s">
        <v>289</v>
      </c>
      <c r="B52" s="3" t="s">
        <v>849</v>
      </c>
      <c r="C52" s="3"/>
    </row>
    <row r="53" customFormat="false" ht="15.75" hidden="false" customHeight="false" outlineLevel="0" collapsed="false">
      <c r="A53" s="3" t="s">
        <v>289</v>
      </c>
      <c r="B53" s="3" t="s">
        <v>860</v>
      </c>
      <c r="C53" s="3"/>
    </row>
    <row r="54" customFormat="false" ht="15.75" hidden="false" customHeight="false" outlineLevel="0" collapsed="false">
      <c r="A54" s="3" t="s">
        <v>289</v>
      </c>
      <c r="B54" s="3" t="s">
        <v>899</v>
      </c>
      <c r="C54" s="3"/>
    </row>
    <row r="55" customFormat="false" ht="15.75" hidden="false" customHeight="false" outlineLevel="0" collapsed="false">
      <c r="A55" s="3" t="s">
        <v>291</v>
      </c>
      <c r="B55" s="3"/>
      <c r="C55" s="3" t="s">
        <v>1033</v>
      </c>
    </row>
    <row r="56" customFormat="false" ht="15.75" hidden="false" customHeight="false" outlineLevel="0" collapsed="false">
      <c r="A56" s="3" t="s">
        <v>291</v>
      </c>
      <c r="B56" s="3" t="s">
        <v>968</v>
      </c>
      <c r="C56" s="3"/>
    </row>
    <row r="57" customFormat="false" ht="15.75" hidden="false" customHeight="false" outlineLevel="0" collapsed="false">
      <c r="A57" s="3" t="s">
        <v>291</v>
      </c>
      <c r="B57" s="3"/>
      <c r="C57" s="3" t="s">
        <v>823</v>
      </c>
    </row>
    <row r="58" customFormat="false" ht="15.75" hidden="false" customHeight="false" outlineLevel="0" collapsed="false">
      <c r="A58" s="3" t="s">
        <v>291</v>
      </c>
      <c r="B58" s="3"/>
      <c r="C58" s="3" t="s">
        <v>839</v>
      </c>
    </row>
    <row r="59" customFormat="false" ht="15.75" hidden="false" customHeight="false" outlineLevel="0" collapsed="false">
      <c r="A59" s="3" t="s">
        <v>291</v>
      </c>
      <c r="B59" s="3"/>
      <c r="C59" s="3" t="s">
        <v>872</v>
      </c>
    </row>
    <row r="60" customFormat="false" ht="15.75" hidden="false" customHeight="false" outlineLevel="0" collapsed="false">
      <c r="A60" s="3" t="s">
        <v>291</v>
      </c>
      <c r="B60" s="3"/>
      <c r="C60" s="3" t="s">
        <v>905</v>
      </c>
    </row>
    <row r="61" customFormat="false" ht="15.75" hidden="false" customHeight="false" outlineLevel="0" collapsed="false">
      <c r="A61" s="3" t="s">
        <v>291</v>
      </c>
      <c r="B61" s="3"/>
      <c r="C61" s="3" t="s">
        <v>1049</v>
      </c>
    </row>
    <row r="62" customFormat="false" ht="15.75" hidden="false" customHeight="false" outlineLevel="0" collapsed="false">
      <c r="A62" s="3" t="s">
        <v>291</v>
      </c>
      <c r="B62" s="3"/>
      <c r="C62" s="3" t="s">
        <v>913</v>
      </c>
    </row>
    <row r="63" customFormat="false" ht="15.75" hidden="false" customHeight="false" outlineLevel="0" collapsed="false">
      <c r="A63" s="3" t="s">
        <v>291</v>
      </c>
      <c r="B63" s="3"/>
      <c r="C63" s="3" t="s">
        <v>1077</v>
      </c>
    </row>
    <row r="64" customFormat="false" ht="15.75" hidden="false" customHeight="false" outlineLevel="0" collapsed="false">
      <c r="A64" s="3" t="s">
        <v>291</v>
      </c>
      <c r="B64" s="3"/>
      <c r="C64" s="3" t="s">
        <v>1078</v>
      </c>
    </row>
    <row r="65" customFormat="false" ht="15.75" hidden="false" customHeight="false" outlineLevel="0" collapsed="false">
      <c r="A65" s="3" t="s">
        <v>291</v>
      </c>
      <c r="B65" s="3"/>
      <c r="C65" s="3" t="s">
        <v>1079</v>
      </c>
    </row>
    <row r="66" customFormat="false" ht="15.75" hidden="false" customHeight="false" outlineLevel="0" collapsed="false">
      <c r="A66" s="3" t="s">
        <v>289</v>
      </c>
      <c r="B66" s="3"/>
      <c r="C66" s="3" t="s">
        <v>1017</v>
      </c>
    </row>
    <row r="67" customFormat="false" ht="15.75" hidden="false" customHeight="false" outlineLevel="0" collapsed="false">
      <c r="A67" s="3" t="s">
        <v>665</v>
      </c>
      <c r="B67" s="3" t="s">
        <v>1104</v>
      </c>
      <c r="C67" s="3" t="s">
        <v>1104</v>
      </c>
    </row>
    <row r="68" customFormat="false" ht="15.75" hidden="false" customHeight="false" outlineLevel="0" collapsed="false">
      <c r="A68" s="3" t="s">
        <v>665</v>
      </c>
      <c r="B68" s="3" t="s">
        <v>1105</v>
      </c>
      <c r="C68" s="3" t="s">
        <v>1040</v>
      </c>
    </row>
    <row r="69" customFormat="false" ht="15.75" hidden="false" customHeight="false" outlineLevel="0" collapsed="false">
      <c r="A69" s="3" t="s">
        <v>665</v>
      </c>
      <c r="B69" s="3" t="s">
        <v>846</v>
      </c>
      <c r="C69" s="3" t="s">
        <v>1072</v>
      </c>
    </row>
    <row r="70" customFormat="false" ht="15.75" hidden="false" customHeight="false" outlineLevel="0" collapsed="false">
      <c r="A70" s="3" t="s">
        <v>665</v>
      </c>
      <c r="B70" s="3" t="s">
        <v>846</v>
      </c>
      <c r="C70" s="3" t="s">
        <v>1073</v>
      </c>
    </row>
    <row r="71" customFormat="false" ht="15.75" hidden="false" customHeight="false" outlineLevel="0" collapsed="false">
      <c r="A71" s="3" t="s">
        <v>665</v>
      </c>
      <c r="B71" s="3" t="s">
        <v>846</v>
      </c>
      <c r="C71" s="3" t="s">
        <v>1074</v>
      </c>
    </row>
    <row r="72" customFormat="false" ht="15.75" hidden="false" customHeight="false" outlineLevel="0" collapsed="false">
      <c r="A72" s="3" t="s">
        <v>665</v>
      </c>
      <c r="B72" s="3" t="s">
        <v>846</v>
      </c>
      <c r="C72" s="3" t="s">
        <v>1075</v>
      </c>
    </row>
    <row r="73" customFormat="false" ht="15.75" hidden="false" customHeight="false" outlineLevel="0" collapsed="false">
      <c r="A73" s="3" t="s">
        <v>665</v>
      </c>
      <c r="B73" s="3" t="s">
        <v>846</v>
      </c>
      <c r="C73" s="3" t="s">
        <v>1076</v>
      </c>
    </row>
    <row r="74" customFormat="false" ht="15.75" hidden="false" customHeight="false" outlineLevel="0" collapsed="false">
      <c r="A74" s="3" t="s">
        <v>665</v>
      </c>
      <c r="B74" s="3" t="s">
        <v>822</v>
      </c>
      <c r="C74" s="3"/>
    </row>
    <row r="75" customFormat="false" ht="15.75" hidden="false" customHeight="false" outlineLevel="0" collapsed="false">
      <c r="A75" s="3" t="s">
        <v>665</v>
      </c>
      <c r="B75" s="3" t="s">
        <v>906</v>
      </c>
      <c r="C75" s="3"/>
    </row>
    <row r="76" customFormat="false" ht="15.75" hidden="false" customHeight="false" outlineLevel="0" collapsed="false">
      <c r="A76" s="3" t="s">
        <v>667</v>
      </c>
      <c r="B76" s="3"/>
      <c r="C76" s="3" t="s">
        <v>1023</v>
      </c>
    </row>
    <row r="77" customFormat="false" ht="15.75" hidden="false" customHeight="false" outlineLevel="0" collapsed="false">
      <c r="A77" s="3" t="s">
        <v>667</v>
      </c>
      <c r="B77" s="3"/>
      <c r="C77" s="3" t="s">
        <v>1021</v>
      </c>
    </row>
    <row r="78" customFormat="false" ht="15.75" hidden="false" customHeight="false" outlineLevel="0" collapsed="false">
      <c r="A78" s="3" t="s">
        <v>667</v>
      </c>
      <c r="B78" s="3" t="s">
        <v>774</v>
      </c>
      <c r="C78" s="3"/>
    </row>
    <row r="79" customFormat="false" ht="15.75" hidden="false" customHeight="false" outlineLevel="0" collapsed="false">
      <c r="A79" s="3" t="s">
        <v>667</v>
      </c>
      <c r="B79" s="3" t="s">
        <v>1106</v>
      </c>
      <c r="C79" s="3" t="s">
        <v>1106</v>
      </c>
    </row>
    <row r="80" customFormat="false" ht="15.75" hidden="false" customHeight="false" outlineLevel="0" collapsed="false">
      <c r="A80" s="3" t="s">
        <v>667</v>
      </c>
      <c r="B80" s="3" t="s">
        <v>1107</v>
      </c>
      <c r="C80" s="3" t="s">
        <v>1107</v>
      </c>
    </row>
    <row r="81" customFormat="false" ht="15.75" hidden="false" customHeight="false" outlineLevel="0" collapsed="false">
      <c r="A81" s="3" t="s">
        <v>667</v>
      </c>
      <c r="B81" s="14" t="s">
        <v>1108</v>
      </c>
      <c r="C81" s="3"/>
    </row>
    <row r="82" customFormat="false" ht="15.75" hidden="false" customHeight="false" outlineLevel="0" collapsed="false">
      <c r="A82" s="3" t="s">
        <v>667</v>
      </c>
      <c r="B82" s="3" t="s">
        <v>1109</v>
      </c>
      <c r="C82" s="3" t="s">
        <v>1109</v>
      </c>
    </row>
    <row r="83" customFormat="false" ht="15.75" hidden="false" customHeight="false" outlineLevel="0" collapsed="false">
      <c r="A83" s="3" t="s">
        <v>667</v>
      </c>
      <c r="B83" s="3" t="s">
        <v>1110</v>
      </c>
      <c r="C83" s="3" t="s">
        <v>1110</v>
      </c>
    </row>
    <row r="84" customFormat="false" ht="15.75" hidden="false" customHeight="false" outlineLevel="0" collapsed="false">
      <c r="A84" s="3" t="s">
        <v>665</v>
      </c>
      <c r="B84" s="3" t="s">
        <v>1111</v>
      </c>
      <c r="C84" s="3" t="s">
        <v>1111</v>
      </c>
    </row>
    <row r="85" customFormat="false" ht="15.75" hidden="false" customHeight="false" outlineLevel="0" collapsed="false">
      <c r="A85" s="3" t="s">
        <v>667</v>
      </c>
      <c r="B85" s="3" t="s">
        <v>1112</v>
      </c>
      <c r="C85" s="3" t="s">
        <v>1112</v>
      </c>
    </row>
    <row r="86" customFormat="false" ht="15.75" hidden="false" customHeight="false" outlineLevel="0" collapsed="false">
      <c r="A86" s="3" t="s">
        <v>667</v>
      </c>
      <c r="B86" s="3"/>
      <c r="C86" s="3" t="s">
        <v>1062</v>
      </c>
    </row>
    <row r="87" customFormat="false" ht="15.75" hidden="false" customHeight="false" outlineLevel="0" collapsed="false">
      <c r="A87" s="3" t="s">
        <v>667</v>
      </c>
      <c r="B87" s="3"/>
      <c r="C87" s="3" t="s">
        <v>1063</v>
      </c>
    </row>
    <row r="88" customFormat="false" ht="15.75" hidden="false" customHeight="false" outlineLevel="0" collapsed="false">
      <c r="A88" s="3" t="s">
        <v>1113</v>
      </c>
      <c r="B88" s="3" t="s">
        <v>789</v>
      </c>
      <c r="C88" s="3" t="s">
        <v>765</v>
      </c>
    </row>
    <row r="89" customFormat="false" ht="15.75" hidden="false" customHeight="false" outlineLevel="0" collapsed="false">
      <c r="A89" s="3" t="s">
        <v>1113</v>
      </c>
      <c r="B89" s="3" t="s">
        <v>790</v>
      </c>
      <c r="C89" s="3"/>
    </row>
    <row r="90" customFormat="false" ht="15.75" hidden="false" customHeight="false" outlineLevel="0" collapsed="false">
      <c r="A90" s="3" t="s">
        <v>1113</v>
      </c>
      <c r="B90" s="3"/>
      <c r="C90" s="3" t="s">
        <v>876</v>
      </c>
    </row>
    <row r="91" customFormat="false" ht="15.75" hidden="false" customHeight="false" outlineLevel="0" collapsed="false">
      <c r="A91" s="3" t="s">
        <v>1113</v>
      </c>
      <c r="B91" s="3"/>
      <c r="C91" s="3" t="s">
        <v>878</v>
      </c>
    </row>
    <row r="92" customFormat="false" ht="15.75" hidden="false" customHeight="false" outlineLevel="0" collapsed="false">
      <c r="A92" s="3" t="s">
        <v>1113</v>
      </c>
      <c r="B92" s="3"/>
      <c r="C92" s="3" t="s">
        <v>880</v>
      </c>
    </row>
    <row r="93" customFormat="false" ht="15.75" hidden="false" customHeight="false" outlineLevel="0" collapsed="false">
      <c r="A93" s="3" t="s">
        <v>1114</v>
      </c>
      <c r="B93" s="3"/>
      <c r="C93" s="3" t="s">
        <v>763</v>
      </c>
    </row>
    <row r="94" customFormat="false" ht="15.75" hidden="false" customHeight="false" outlineLevel="0" collapsed="false">
      <c r="A94" s="3" t="s">
        <v>1114</v>
      </c>
      <c r="B94" s="3"/>
      <c r="C94" s="3" t="s">
        <v>775</v>
      </c>
    </row>
    <row r="95" customFormat="false" ht="15.75" hidden="false" customHeight="false" outlineLevel="0" collapsed="false">
      <c r="A95" s="3" t="s">
        <v>1115</v>
      </c>
      <c r="B95" s="3" t="s">
        <v>793</v>
      </c>
    </row>
    <row r="96" customFormat="false" ht="15.75" hidden="false" customHeight="false" outlineLevel="0" collapsed="false">
      <c r="A96" s="3" t="s">
        <v>1115</v>
      </c>
      <c r="B96" s="3" t="s">
        <v>1116</v>
      </c>
    </row>
    <row r="97" customFormat="false" ht="15.75" hidden="false" customHeight="false" outlineLevel="0" collapsed="false">
      <c r="A97" s="3" t="s">
        <v>1115</v>
      </c>
      <c r="B97" s="3"/>
      <c r="C97" s="3" t="s">
        <v>923</v>
      </c>
    </row>
    <row r="98" customFormat="false" ht="15.75" hidden="false" customHeight="false" outlineLevel="0" collapsed="false">
      <c r="A98" s="3" t="s">
        <v>1115</v>
      </c>
      <c r="B98" s="3" t="s">
        <v>976</v>
      </c>
      <c r="C98" s="3" t="s">
        <v>976</v>
      </c>
    </row>
    <row r="99" customFormat="false" ht="15.75" hidden="false" customHeight="false" outlineLevel="0" collapsed="false">
      <c r="A99" s="3" t="s">
        <v>1115</v>
      </c>
      <c r="B99" s="3" t="s">
        <v>1117</v>
      </c>
      <c r="C99" s="3" t="s">
        <v>1117</v>
      </c>
    </row>
    <row r="100" customFormat="false" ht="15.75" hidden="false" customHeight="false" outlineLevel="0" collapsed="false">
      <c r="A100" s="3" t="s">
        <v>1115</v>
      </c>
      <c r="B100" s="3" t="s">
        <v>793</v>
      </c>
      <c r="C100" s="3" t="s">
        <v>793</v>
      </c>
    </row>
    <row r="101" customFormat="false" ht="15.75" hidden="false" customHeight="false" outlineLevel="0" collapsed="false">
      <c r="A101" s="3" t="s">
        <v>1115</v>
      </c>
      <c r="B101" s="3" t="s">
        <v>1116</v>
      </c>
      <c r="C101" s="3" t="s">
        <v>1116</v>
      </c>
    </row>
    <row r="102" customFormat="false" ht="15.75" hidden="false" customHeight="false" outlineLevel="0" collapsed="false">
      <c r="A102" s="3" t="s">
        <v>1115</v>
      </c>
      <c r="B102" s="3"/>
      <c r="C102" s="3" t="s">
        <v>727</v>
      </c>
    </row>
    <row r="103" customFormat="false" ht="15.75" hidden="false" customHeight="false" outlineLevel="0" collapsed="false">
      <c r="A103" s="3" t="s">
        <v>1115</v>
      </c>
      <c r="B103" s="3"/>
      <c r="C103" s="3" t="s">
        <v>855</v>
      </c>
    </row>
    <row r="104" customFormat="false" ht="15.75" hidden="false" customHeight="false" outlineLevel="0" collapsed="false">
      <c r="A104" s="3" t="s">
        <v>1115</v>
      </c>
      <c r="B104" s="3" t="s">
        <v>1118</v>
      </c>
      <c r="C104" s="3" t="s">
        <v>857</v>
      </c>
    </row>
    <row r="105" customFormat="false" ht="15.75" hidden="false" customHeight="false" outlineLevel="0" collapsed="false">
      <c r="A105" s="3" t="s">
        <v>1115</v>
      </c>
      <c r="B105" s="3"/>
      <c r="C105" s="3" t="s">
        <v>886</v>
      </c>
    </row>
    <row r="106" customFormat="false" ht="15.75" hidden="false" customHeight="false" outlineLevel="0" collapsed="false">
      <c r="A106" s="3" t="s">
        <v>1115</v>
      </c>
      <c r="B106" s="3"/>
      <c r="C106" s="3" t="s">
        <v>1045</v>
      </c>
    </row>
    <row r="107" customFormat="false" ht="15.75" hidden="false" customHeight="false" outlineLevel="0" collapsed="false">
      <c r="A107" s="3" t="s">
        <v>678</v>
      </c>
      <c r="B107" s="3" t="s">
        <v>981</v>
      </c>
      <c r="C107" s="3"/>
    </row>
    <row r="108" customFormat="false" ht="15.75" hidden="false" customHeight="false" outlineLevel="0" collapsed="false">
      <c r="A108" s="3" t="s">
        <v>298</v>
      </c>
      <c r="B108" s="3" t="s">
        <v>983</v>
      </c>
      <c r="C108" s="3"/>
    </row>
    <row r="109" customFormat="false" ht="15.75" hidden="false" customHeight="false" outlineLevel="0" collapsed="false">
      <c r="A109" s="3" t="s">
        <v>298</v>
      </c>
      <c r="B109" s="3" t="s">
        <v>920</v>
      </c>
      <c r="C109" s="3" t="s">
        <v>920</v>
      </c>
    </row>
    <row r="110" customFormat="false" ht="15.75" hidden="false" customHeight="false" outlineLevel="0" collapsed="false">
      <c r="A110" s="3" t="s">
        <v>298</v>
      </c>
      <c r="B110" s="3" t="s">
        <v>918</v>
      </c>
      <c r="C110" s="3" t="s">
        <v>918</v>
      </c>
    </row>
    <row r="111" customFormat="false" ht="15.75" hidden="false" customHeight="false" outlineLevel="0" collapsed="false">
      <c r="A111" s="3" t="s">
        <v>678</v>
      </c>
      <c r="B111" s="3"/>
      <c r="C111" s="3" t="s">
        <v>768</v>
      </c>
    </row>
    <row r="112" customFormat="false" ht="15.75" hidden="false" customHeight="false" outlineLevel="0" collapsed="false">
      <c r="A112" s="3" t="s">
        <v>298</v>
      </c>
      <c r="B112" s="3"/>
      <c r="C112" s="3" t="s">
        <v>900</v>
      </c>
    </row>
    <row r="113" customFormat="false" ht="15.75" hidden="false" customHeight="false" outlineLevel="0" collapsed="false">
      <c r="A113" s="3" t="s">
        <v>298</v>
      </c>
      <c r="B113" s="3" t="s">
        <v>802</v>
      </c>
      <c r="C113" s="3" t="s">
        <v>802</v>
      </c>
    </row>
    <row r="114" customFormat="false" ht="15.75" hidden="false" customHeight="false" outlineLevel="0" collapsed="false">
      <c r="A114" s="3" t="s">
        <v>298</v>
      </c>
      <c r="B114" s="3" t="s">
        <v>802</v>
      </c>
      <c r="C114" s="3" t="s">
        <v>802</v>
      </c>
    </row>
    <row r="115" customFormat="false" ht="15.75" hidden="false" customHeight="false" outlineLevel="0" collapsed="false">
      <c r="A115" s="3" t="s">
        <v>298</v>
      </c>
      <c r="B115" s="3"/>
      <c r="C115" s="3" t="s">
        <v>930</v>
      </c>
    </row>
    <row r="116" customFormat="false" ht="15.75" hidden="false" customHeight="false" outlineLevel="0" collapsed="false">
      <c r="A116" s="3" t="s">
        <v>298</v>
      </c>
      <c r="B116" s="3" t="s">
        <v>912</v>
      </c>
      <c r="C116" s="3" t="s">
        <v>1041</v>
      </c>
    </row>
    <row r="117" customFormat="false" ht="15.75" hidden="false" customHeight="false" outlineLevel="0" collapsed="false">
      <c r="A117" s="3" t="s">
        <v>298</v>
      </c>
      <c r="B117" s="3" t="s">
        <v>974</v>
      </c>
      <c r="C117" s="3" t="s">
        <v>974</v>
      </c>
    </row>
    <row r="118" customFormat="false" ht="15.75" hidden="false" customHeight="false" outlineLevel="0" collapsed="false">
      <c r="A118" s="3" t="s">
        <v>298</v>
      </c>
      <c r="B118" s="3"/>
      <c r="C118" s="3" t="s">
        <v>1013</v>
      </c>
    </row>
    <row r="119" customFormat="false" ht="15.75" hidden="false" customHeight="false" outlineLevel="0" collapsed="false">
      <c r="A119" s="3" t="s">
        <v>298</v>
      </c>
      <c r="B119" s="3" t="s">
        <v>901</v>
      </c>
      <c r="C119" s="3" t="s">
        <v>901</v>
      </c>
    </row>
    <row r="120" customFormat="false" ht="15.75" hidden="false" customHeight="false" outlineLevel="0" collapsed="false">
      <c r="A120" s="3" t="s">
        <v>298</v>
      </c>
      <c r="B120" s="3" t="s">
        <v>716</v>
      </c>
      <c r="C120" s="3"/>
    </row>
    <row r="121" customFormat="false" ht="15.75" hidden="false" customHeight="false" outlineLevel="0" collapsed="false">
      <c r="A121" s="3" t="s">
        <v>298</v>
      </c>
      <c r="C121" s="3" t="s">
        <v>723</v>
      </c>
    </row>
    <row r="122" customFormat="false" ht="15.75" hidden="false" customHeight="false" outlineLevel="0" collapsed="false">
      <c r="A122" s="3" t="s">
        <v>298</v>
      </c>
      <c r="C122" s="3" t="s">
        <v>736</v>
      </c>
    </row>
    <row r="123" customFormat="false" ht="15.75" hidden="false" customHeight="false" outlineLevel="0" collapsed="false">
      <c r="A123" s="3" t="s">
        <v>298</v>
      </c>
      <c r="C123" s="3" t="s">
        <v>742</v>
      </c>
    </row>
    <row r="124" customFormat="false" ht="15.75" hidden="false" customHeight="false" outlineLevel="0" collapsed="false">
      <c r="A124" s="3" t="s">
        <v>298</v>
      </c>
      <c r="C124" s="3" t="s">
        <v>851</v>
      </c>
    </row>
    <row r="125" customFormat="false" ht="15.75" hidden="false" customHeight="false" outlineLevel="0" collapsed="false">
      <c r="A125" s="3" t="s">
        <v>298</v>
      </c>
      <c r="C125" s="3" t="s">
        <v>853</v>
      </c>
    </row>
    <row r="126" customFormat="false" ht="15.75" hidden="false" customHeight="false" outlineLevel="0" collapsed="false">
      <c r="A126" s="3" t="s">
        <v>298</v>
      </c>
      <c r="C126" s="3" t="s">
        <v>928</v>
      </c>
    </row>
    <row r="127" customFormat="false" ht="15.75" hidden="false" customHeight="false" outlineLevel="0" collapsed="false">
      <c r="A127" s="3" t="s">
        <v>298</v>
      </c>
      <c r="C127" s="3" t="s">
        <v>952</v>
      </c>
    </row>
    <row r="128" customFormat="false" ht="15.75" hidden="false" customHeight="false" outlineLevel="0" collapsed="false">
      <c r="A128" s="3" t="s">
        <v>298</v>
      </c>
      <c r="C128" s="3" t="s">
        <v>1048</v>
      </c>
    </row>
    <row r="129" customFormat="false" ht="15.75" hidden="false" customHeight="false" outlineLevel="0" collapsed="false">
      <c r="A129" s="3" t="s">
        <v>298</v>
      </c>
      <c r="C129" s="3" t="s">
        <v>1086</v>
      </c>
    </row>
    <row r="130" customFormat="false" ht="15.75" hidden="false" customHeight="false" outlineLevel="0" collapsed="false">
      <c r="A130" s="3" t="s">
        <v>298</v>
      </c>
      <c r="C130" s="3" t="s">
        <v>1087</v>
      </c>
    </row>
    <row r="131" customFormat="false" ht="15.75" hidden="false" customHeight="false" outlineLevel="0" collapsed="false">
      <c r="A131" s="3" t="s">
        <v>298</v>
      </c>
      <c r="C131" s="3" t="s">
        <v>1088</v>
      </c>
    </row>
    <row r="132" customFormat="false" ht="15.75" hidden="false" customHeight="false" outlineLevel="0" collapsed="false">
      <c r="A132" s="3" t="s">
        <v>299</v>
      </c>
      <c r="C132" s="3" t="s">
        <v>982</v>
      </c>
    </row>
    <row r="133" customFormat="false" ht="15.75" hidden="false" customHeight="false" outlineLevel="0" collapsed="false">
      <c r="A133" s="3" t="s">
        <v>678</v>
      </c>
      <c r="C133" s="3" t="s">
        <v>1060</v>
      </c>
    </row>
    <row r="134" customFormat="false" ht="15.75" hidden="false" customHeight="false" outlineLevel="0" collapsed="false">
      <c r="A134" s="3" t="s">
        <v>678</v>
      </c>
      <c r="C134" s="3" t="s">
        <v>777</v>
      </c>
    </row>
    <row r="135" customFormat="false" ht="15.75" hidden="false" customHeight="false" outlineLevel="0" collapsed="false">
      <c r="A135" s="3" t="s">
        <v>678</v>
      </c>
      <c r="C135" s="3" t="s">
        <v>815</v>
      </c>
    </row>
    <row r="136" customFormat="false" ht="15.75" hidden="false" customHeight="false" outlineLevel="0" collapsed="false">
      <c r="A136" s="3" t="s">
        <v>678</v>
      </c>
      <c r="B136" s="3" t="s">
        <v>964</v>
      </c>
      <c r="C136" s="3"/>
    </row>
    <row r="137" customFormat="false" ht="15.75" hidden="false" customHeight="false" outlineLevel="0" collapsed="false">
      <c r="A137" s="3" t="s">
        <v>678</v>
      </c>
      <c r="B137" s="3" t="s">
        <v>749</v>
      </c>
      <c r="C137" s="3" t="s">
        <v>749</v>
      </c>
    </row>
    <row r="138" customFormat="false" ht="15.75" hidden="false" customHeight="false" outlineLevel="0" collapsed="false">
      <c r="A138" s="3" t="s">
        <v>678</v>
      </c>
      <c r="B138" s="3" t="s">
        <v>731</v>
      </c>
      <c r="C138" s="3" t="s">
        <v>731</v>
      </c>
    </row>
    <row r="139" customFormat="false" ht="15.75" hidden="false" customHeight="false" outlineLevel="0" collapsed="false">
      <c r="A139" s="3" t="s">
        <v>678</v>
      </c>
      <c r="B139" s="3" t="s">
        <v>732</v>
      </c>
      <c r="C139" s="3" t="s">
        <v>732</v>
      </c>
    </row>
    <row r="140" customFormat="false" ht="15.75" hidden="false" customHeight="false" outlineLevel="0" collapsed="false">
      <c r="A140" s="3" t="s">
        <v>678</v>
      </c>
      <c r="B140" s="3"/>
      <c r="C140" s="3" t="s">
        <v>773</v>
      </c>
    </row>
    <row r="141" customFormat="false" ht="15.75" hidden="false" customHeight="false" outlineLevel="0" collapsed="false">
      <c r="A141" s="3" t="s">
        <v>678</v>
      </c>
      <c r="B141" s="3"/>
      <c r="C141" s="3" t="s">
        <v>804</v>
      </c>
    </row>
    <row r="142" customFormat="false" ht="15.75" hidden="false" customHeight="false" outlineLevel="0" collapsed="false">
      <c r="A142" s="3" t="s">
        <v>674</v>
      </c>
      <c r="B142" s="3" t="s">
        <v>933</v>
      </c>
      <c r="C142" s="3" t="s">
        <v>933</v>
      </c>
    </row>
    <row r="143" customFormat="false" ht="15.75" hidden="false" customHeight="false" outlineLevel="0" collapsed="false">
      <c r="A143" s="3" t="s">
        <v>674</v>
      </c>
      <c r="B143" s="3" t="s">
        <v>931</v>
      </c>
      <c r="C143" s="3" t="s">
        <v>931</v>
      </c>
    </row>
    <row r="144" customFormat="false" ht="15.75" hidden="false" customHeight="false" outlineLevel="0" collapsed="false">
      <c r="A144" s="3" t="s">
        <v>674</v>
      </c>
      <c r="B144" s="3"/>
      <c r="C144" s="3" t="s">
        <v>1018</v>
      </c>
    </row>
    <row r="145" customFormat="false" ht="15.75" hidden="false" customHeight="false" outlineLevel="0" collapsed="false">
      <c r="A145" s="3" t="s">
        <v>674</v>
      </c>
      <c r="B145" s="3"/>
      <c r="C145" s="3" t="s">
        <v>1025</v>
      </c>
    </row>
    <row r="146" customFormat="false" ht="15.75" hidden="false" customHeight="false" outlineLevel="0" collapsed="false">
      <c r="A146" s="3" t="s">
        <v>1119</v>
      </c>
      <c r="B146" s="3" t="s">
        <v>751</v>
      </c>
      <c r="C146" s="3" t="s">
        <v>751</v>
      </c>
    </row>
    <row r="147" customFormat="false" ht="15.75" hidden="false" customHeight="false" outlineLevel="0" collapsed="false">
      <c r="A147" s="3" t="s">
        <v>680</v>
      </c>
      <c r="B147" s="3" t="s">
        <v>783</v>
      </c>
      <c r="C147" s="3" t="s">
        <v>783</v>
      </c>
    </row>
    <row r="148" customFormat="false" ht="15.75" hidden="false" customHeight="false" outlineLevel="0" collapsed="false">
      <c r="A148" s="3" t="s">
        <v>1119</v>
      </c>
      <c r="B148" s="3" t="s">
        <v>741</v>
      </c>
      <c r="C148" s="3" t="s">
        <v>741</v>
      </c>
    </row>
    <row r="149" customFormat="false" ht="15.75" hidden="false" customHeight="false" outlineLevel="0" collapsed="false">
      <c r="A149" s="3" t="s">
        <v>1119</v>
      </c>
      <c r="B149" s="3" t="s">
        <v>735</v>
      </c>
      <c r="C149" s="3" t="s">
        <v>735</v>
      </c>
    </row>
    <row r="150" customFormat="false" ht="15.75" hidden="false" customHeight="false" outlineLevel="0" collapsed="false">
      <c r="A150" s="3" t="s">
        <v>679</v>
      </c>
      <c r="B150" s="3" t="s">
        <v>829</v>
      </c>
      <c r="C150" s="3"/>
    </row>
    <row r="151" customFormat="false" ht="15.75" hidden="false" customHeight="false" outlineLevel="0" collapsed="false">
      <c r="A151" s="3" t="s">
        <v>295</v>
      </c>
      <c r="B151" s="3" t="s">
        <v>805</v>
      </c>
      <c r="C151" s="3"/>
    </row>
    <row r="152" customFormat="false" ht="15.75" hidden="false" customHeight="false" outlineLevel="0" collapsed="false">
      <c r="A152" s="3" t="s">
        <v>295</v>
      </c>
      <c r="B152" s="3" t="s">
        <v>803</v>
      </c>
      <c r="C152" s="3"/>
    </row>
    <row r="153" customFormat="false" ht="15.75" hidden="false" customHeight="false" outlineLevel="0" collapsed="false">
      <c r="A153" s="3" t="s">
        <v>1120</v>
      </c>
      <c r="B153" s="3" t="s">
        <v>762</v>
      </c>
      <c r="C153" s="3" t="s">
        <v>987</v>
      </c>
    </row>
    <row r="154" customFormat="false" ht="15.75" hidden="false" customHeight="false" outlineLevel="0" collapsed="false">
      <c r="A154" s="3" t="s">
        <v>295</v>
      </c>
      <c r="B154" s="3" t="s">
        <v>856</v>
      </c>
      <c r="C154" s="3" t="s">
        <v>841</v>
      </c>
    </row>
    <row r="155" customFormat="false" ht="15.75" hidden="false" customHeight="false" outlineLevel="0" collapsed="false">
      <c r="A155" s="3" t="s">
        <v>295</v>
      </c>
      <c r="B155" s="3" t="s">
        <v>767</v>
      </c>
      <c r="C155" s="3"/>
    </row>
    <row r="156" customFormat="false" ht="15.75" hidden="false" customHeight="false" outlineLevel="0" collapsed="false">
      <c r="A156" s="3" t="s">
        <v>295</v>
      </c>
      <c r="B156" s="3" t="s">
        <v>1121</v>
      </c>
      <c r="C156" s="3" t="s">
        <v>949</v>
      </c>
    </row>
    <row r="157" customFormat="false" ht="15.75" hidden="false" customHeight="false" outlineLevel="0" collapsed="false">
      <c r="A157" s="3" t="s">
        <v>295</v>
      </c>
      <c r="B157" s="3" t="s">
        <v>813</v>
      </c>
    </row>
    <row r="158" customFormat="false" ht="15.75" hidden="false" customHeight="false" outlineLevel="0" collapsed="false">
      <c r="A158" s="3" t="s">
        <v>295</v>
      </c>
      <c r="B158" s="3"/>
      <c r="C158" s="3" t="s">
        <v>1061</v>
      </c>
    </row>
    <row r="159" customFormat="false" ht="15.75" hidden="false" customHeight="false" outlineLevel="0" collapsed="false">
      <c r="A159" s="3" t="s">
        <v>295</v>
      </c>
      <c r="B159" s="3" t="s">
        <v>902</v>
      </c>
      <c r="C159" s="3" t="s">
        <v>902</v>
      </c>
    </row>
    <row r="160" customFormat="false" ht="15.75" hidden="false" customHeight="false" outlineLevel="0" collapsed="false">
      <c r="A160" s="3" t="s">
        <v>295</v>
      </c>
      <c r="B160" s="3" t="s">
        <v>904</v>
      </c>
      <c r="C160" s="3" t="s">
        <v>904</v>
      </c>
    </row>
    <row r="161" customFormat="false" ht="15.75" hidden="false" customHeight="false" outlineLevel="0" collapsed="false">
      <c r="A161" s="3" t="s">
        <v>295</v>
      </c>
      <c r="B161" s="3" t="s">
        <v>875</v>
      </c>
      <c r="C161" s="3" t="s">
        <v>875</v>
      </c>
    </row>
    <row r="162" customFormat="false" ht="15.75" hidden="false" customHeight="false" outlineLevel="0" collapsed="false">
      <c r="A162" s="3" t="s">
        <v>295</v>
      </c>
      <c r="B162" s="3" t="s">
        <v>791</v>
      </c>
      <c r="C162" s="3" t="s">
        <v>791</v>
      </c>
    </row>
    <row r="163" customFormat="false" ht="15.75" hidden="false" customHeight="false" outlineLevel="0" collapsed="false">
      <c r="A163" s="3" t="s">
        <v>295</v>
      </c>
      <c r="B163" s="3" t="s">
        <v>776</v>
      </c>
      <c r="C163" s="3" t="s">
        <v>776</v>
      </c>
    </row>
    <row r="164" customFormat="false" ht="15.75" hidden="false" customHeight="false" outlineLevel="0" collapsed="false">
      <c r="A164" s="3" t="s">
        <v>1120</v>
      </c>
      <c r="B164" s="3" t="s">
        <v>1122</v>
      </c>
      <c r="C164" s="3" t="s">
        <v>1122</v>
      </c>
    </row>
    <row r="165" customFormat="false" ht="15.75" hidden="false" customHeight="false" outlineLevel="0" collapsed="false">
      <c r="A165" s="3" t="s">
        <v>1120</v>
      </c>
      <c r="B165" s="3" t="s">
        <v>747</v>
      </c>
      <c r="C165" s="3"/>
    </row>
    <row r="166" customFormat="false" ht="15.75" hidden="false" customHeight="false" outlineLevel="0" collapsed="false">
      <c r="A166" s="3" t="s">
        <v>1120</v>
      </c>
      <c r="B166" s="3" t="s">
        <v>760</v>
      </c>
      <c r="C166" s="3"/>
    </row>
    <row r="167" customFormat="false" ht="15.75" hidden="false" customHeight="false" outlineLevel="0" collapsed="false">
      <c r="A167" s="3" t="s">
        <v>297</v>
      </c>
      <c r="B167" s="3" t="s">
        <v>925</v>
      </c>
      <c r="C167" s="3"/>
    </row>
    <row r="168" customFormat="false" ht="15.75" hidden="false" customHeight="false" outlineLevel="0" collapsed="false">
      <c r="A168" s="3" t="s">
        <v>295</v>
      </c>
      <c r="B168" s="3"/>
      <c r="C168" s="3" t="s">
        <v>729</v>
      </c>
    </row>
    <row r="169" customFormat="false" ht="15.75" hidden="false" customHeight="false" outlineLevel="0" collapsed="false">
      <c r="A169" s="3" t="s">
        <v>295</v>
      </c>
      <c r="B169" s="3"/>
      <c r="C169" s="3" t="s">
        <v>843</v>
      </c>
    </row>
    <row r="170" customFormat="false" ht="15.75" hidden="false" customHeight="false" outlineLevel="0" collapsed="false">
      <c r="A170" s="3" t="s">
        <v>295</v>
      </c>
      <c r="B170" s="3"/>
      <c r="C170" s="3" t="s">
        <v>845</v>
      </c>
    </row>
    <row r="171" customFormat="false" ht="15.75" hidden="false" customHeight="false" outlineLevel="0" collapsed="false">
      <c r="A171" s="3" t="s">
        <v>297</v>
      </c>
      <c r="B171" s="3"/>
      <c r="C171" s="3" t="s">
        <v>1046</v>
      </c>
    </row>
    <row r="172" customFormat="false" ht="15.75" hidden="false" customHeight="false" outlineLevel="0" collapsed="false">
      <c r="A172" s="3" t="s">
        <v>295</v>
      </c>
      <c r="B172" s="3"/>
      <c r="C172" s="3" t="s">
        <v>1084</v>
      </c>
    </row>
    <row r="173" customFormat="false" ht="15.75" hidden="false" customHeight="false" outlineLevel="0" collapsed="false">
      <c r="A173" s="3" t="s">
        <v>297</v>
      </c>
      <c r="B173" s="3" t="s">
        <v>850</v>
      </c>
      <c r="C173" s="3"/>
    </row>
    <row r="174" customFormat="false" ht="15.75" hidden="false" customHeight="false" outlineLevel="0" collapsed="false">
      <c r="A174" s="3" t="s">
        <v>297</v>
      </c>
      <c r="B174" s="3" t="s">
        <v>852</v>
      </c>
      <c r="C174" s="3"/>
    </row>
    <row r="175" customFormat="false" ht="15.75" hidden="false" customHeight="false" outlineLevel="0" collapsed="false">
      <c r="A175" s="3" t="s">
        <v>297</v>
      </c>
      <c r="B175" s="3" t="s">
        <v>978</v>
      </c>
      <c r="C175" s="3"/>
    </row>
    <row r="176" customFormat="false" ht="15.75" hidden="false" customHeight="false" outlineLevel="0" collapsed="false">
      <c r="A176" s="3" t="s">
        <v>297</v>
      </c>
      <c r="B176" s="3"/>
      <c r="C176" s="3" t="s">
        <v>997</v>
      </c>
    </row>
    <row r="177" customFormat="false" ht="15.75" hidden="false" customHeight="false" outlineLevel="0" collapsed="false">
      <c r="A177" s="3" t="s">
        <v>297</v>
      </c>
      <c r="B177" s="3"/>
      <c r="C177" s="3" t="s">
        <v>1008</v>
      </c>
    </row>
    <row r="178" customFormat="false" ht="15.75" hidden="false" customHeight="false" outlineLevel="0" collapsed="false">
      <c r="A178" s="3" t="s">
        <v>297</v>
      </c>
      <c r="B178" s="3"/>
      <c r="C178" s="3" t="s">
        <v>1024</v>
      </c>
    </row>
    <row r="179" customFormat="false" ht="15.75" hidden="false" customHeight="false" outlineLevel="0" collapsed="false">
      <c r="A179" s="3" t="s">
        <v>297</v>
      </c>
      <c r="B179" s="3"/>
      <c r="C179" s="3" t="s">
        <v>1030</v>
      </c>
    </row>
    <row r="180" customFormat="false" ht="15.75" hidden="false" customHeight="false" outlineLevel="0" collapsed="false">
      <c r="A180" s="3" t="s">
        <v>297</v>
      </c>
      <c r="B180" s="3"/>
      <c r="C180" s="3" t="s">
        <v>1091</v>
      </c>
    </row>
    <row r="181" customFormat="false" ht="15.75" hidden="false" customHeight="false" outlineLevel="0" collapsed="false">
      <c r="A181" s="4"/>
      <c r="B181" s="3"/>
      <c r="C181" s="3"/>
    </row>
    <row r="182" customFormat="false" ht="15.75" hidden="false" customHeight="false" outlineLevel="0" collapsed="false">
      <c r="A182" s="4"/>
      <c r="B182" s="3"/>
      <c r="C182" s="3"/>
    </row>
    <row r="183" customFormat="false" ht="15.75" hidden="false" customHeight="false" outlineLevel="0" collapsed="false">
      <c r="A183" s="4"/>
      <c r="B183" s="3"/>
      <c r="C183" s="3"/>
    </row>
    <row r="184" customFormat="false" ht="15.75" hidden="false" customHeight="false" outlineLevel="0" collapsed="false">
      <c r="A184" s="3" t="s">
        <v>297</v>
      </c>
      <c r="B184" s="3" t="s">
        <v>871</v>
      </c>
      <c r="C184" s="3"/>
    </row>
    <row r="185" customFormat="false" ht="15.75" hidden="false" customHeight="false" outlineLevel="0" collapsed="false">
      <c r="A185" s="3" t="s">
        <v>295</v>
      </c>
      <c r="B185" s="3" t="s">
        <v>966</v>
      </c>
      <c r="C185" s="3"/>
    </row>
    <row r="186" customFormat="false" ht="15.75" hidden="false" customHeight="false" outlineLevel="0" collapsed="false">
      <c r="A186" s="4"/>
      <c r="B186" s="3"/>
      <c r="C186" s="3"/>
    </row>
    <row r="187" customFormat="false" ht="15.75" hidden="false" customHeight="false" outlineLevel="0" collapsed="false">
      <c r="A187" s="4"/>
      <c r="B187" s="3"/>
      <c r="C187" s="3"/>
    </row>
    <row r="188" customFormat="false" ht="15.75" hidden="false" customHeight="false" outlineLevel="0" collapsed="false">
      <c r="A188" s="3" t="s">
        <v>1123</v>
      </c>
      <c r="B188" s="3"/>
      <c r="C188" s="3" t="s">
        <v>1085</v>
      </c>
    </row>
    <row r="189" customFormat="false" ht="15.75" hidden="false" customHeight="false" outlineLevel="0" collapsed="false">
      <c r="A189" s="4"/>
      <c r="B189" s="3"/>
      <c r="C189" s="3"/>
    </row>
    <row r="190" customFormat="false" ht="15.75" hidden="false" customHeight="false" outlineLevel="0" collapsed="false">
      <c r="A190" s="4"/>
      <c r="B190" s="3"/>
      <c r="C190" s="3"/>
    </row>
    <row r="191" customFormat="false" ht="15.75" hidden="false" customHeight="false" outlineLevel="0" collapsed="false">
      <c r="A191" s="4"/>
      <c r="B191" s="3"/>
      <c r="C191" s="3"/>
    </row>
    <row r="192" customFormat="false" ht="15.75" hidden="false" customHeight="false" outlineLevel="0" collapsed="false">
      <c r="A192" s="4"/>
      <c r="B192" s="3"/>
      <c r="C192" s="3"/>
    </row>
    <row r="193" customFormat="false" ht="15.75" hidden="false" customHeight="false" outlineLevel="0" collapsed="false">
      <c r="A193" s="3" t="s">
        <v>1124</v>
      </c>
      <c r="B193" s="3" t="s">
        <v>1125</v>
      </c>
      <c r="C193" s="3" t="s">
        <v>1125</v>
      </c>
    </row>
    <row r="194" customFormat="false" ht="15.75" hidden="false" customHeight="false" outlineLevel="0" collapsed="false">
      <c r="A194" s="3" t="s">
        <v>1124</v>
      </c>
      <c r="B194" s="3" t="s">
        <v>885</v>
      </c>
      <c r="C194" s="3"/>
    </row>
    <row r="195" customFormat="false" ht="15.75" hidden="false" customHeight="false" outlineLevel="0" collapsed="false">
      <c r="A195" s="3" t="s">
        <v>1124</v>
      </c>
      <c r="B195" s="3" t="s">
        <v>764</v>
      </c>
      <c r="C195" s="3" t="s">
        <v>764</v>
      </c>
    </row>
    <row r="196" customFormat="false" ht="15.75" hidden="false" customHeight="false" outlineLevel="0" collapsed="false">
      <c r="A196" s="3" t="s">
        <v>1124</v>
      </c>
      <c r="B196" s="3"/>
      <c r="C196" s="3" t="s">
        <v>830</v>
      </c>
    </row>
    <row r="197" customFormat="false" ht="15.75" hidden="false" customHeight="false" outlineLevel="0" collapsed="false">
      <c r="A197" s="3" t="s">
        <v>1124</v>
      </c>
      <c r="B197" s="3"/>
      <c r="C197" s="3" t="s">
        <v>832</v>
      </c>
    </row>
    <row r="198" customFormat="false" ht="15.75" hidden="false" customHeight="false" outlineLevel="0" collapsed="false">
      <c r="A198" s="3" t="s">
        <v>690</v>
      </c>
      <c r="B198" s="3" t="s">
        <v>1126</v>
      </c>
      <c r="C198" s="3" t="s">
        <v>1126</v>
      </c>
    </row>
    <row r="199" customFormat="false" ht="15.75" hidden="false" customHeight="false" outlineLevel="0" collapsed="false">
      <c r="A199" s="3" t="s">
        <v>1127</v>
      </c>
      <c r="B199" s="3"/>
      <c r="C199" s="3" t="s">
        <v>980</v>
      </c>
    </row>
    <row r="200" customFormat="false" ht="15.75" hidden="false" customHeight="false" outlineLevel="0" collapsed="false">
      <c r="A200" s="3" t="s">
        <v>689</v>
      </c>
      <c r="B200" s="3"/>
      <c r="C200" s="3" t="s">
        <v>809</v>
      </c>
    </row>
    <row r="201" customFormat="false" ht="15.75" hidden="false" customHeight="false" outlineLevel="0" collapsed="false">
      <c r="A201" s="3" t="s">
        <v>689</v>
      </c>
      <c r="B201" s="3"/>
      <c r="C201" s="3" t="s">
        <v>1016</v>
      </c>
    </row>
    <row r="202" customFormat="false" ht="15.75" hidden="false" customHeight="false" outlineLevel="0" collapsed="false">
      <c r="A202" s="3" t="s">
        <v>307</v>
      </c>
      <c r="B202" s="3"/>
    </row>
    <row r="203" customFormat="false" ht="15.75" hidden="false" customHeight="false" outlineLevel="0" collapsed="false">
      <c r="A203" s="3" t="s">
        <v>307</v>
      </c>
      <c r="B203" s="3" t="s">
        <v>737</v>
      </c>
      <c r="C203" s="3" t="s">
        <v>759</v>
      </c>
    </row>
    <row r="204" customFormat="false" ht="15.75" hidden="false" customHeight="false" outlineLevel="0" collapsed="false">
      <c r="A204" s="3" t="s">
        <v>307</v>
      </c>
      <c r="B204" s="3" t="s">
        <v>737</v>
      </c>
      <c r="C204" s="3" t="s">
        <v>761</v>
      </c>
    </row>
    <row r="205" customFormat="false" ht="15.75" hidden="false" customHeight="false" outlineLevel="0" collapsed="false">
      <c r="A205" s="3" t="s">
        <v>307</v>
      </c>
      <c r="B205" s="3" t="s">
        <v>743</v>
      </c>
      <c r="C205" s="3" t="s">
        <v>743</v>
      </c>
    </row>
    <row r="206" customFormat="false" ht="15.75" hidden="false" customHeight="false" outlineLevel="0" collapsed="false">
      <c r="A206" s="3" t="s">
        <v>306</v>
      </c>
      <c r="B206" s="3"/>
      <c r="C206" s="3" t="s">
        <v>1038</v>
      </c>
    </row>
    <row r="207" customFormat="false" ht="15.75" hidden="false" customHeight="false" outlineLevel="0" collapsed="false">
      <c r="A207" s="3" t="s">
        <v>306</v>
      </c>
      <c r="B207" s="3"/>
      <c r="C207" s="3" t="s">
        <v>1039</v>
      </c>
    </row>
    <row r="208" customFormat="false" ht="15.75" hidden="false" customHeight="false" outlineLevel="0" collapsed="false">
      <c r="A208" s="3" t="s">
        <v>305</v>
      </c>
      <c r="B208" s="3"/>
      <c r="C208" s="3" t="s">
        <v>837</v>
      </c>
    </row>
    <row r="209" customFormat="false" ht="15.75" hidden="false" customHeight="false" outlineLevel="0" collapsed="false">
      <c r="A209" s="3" t="s">
        <v>305</v>
      </c>
      <c r="B209" s="3"/>
      <c r="C209" s="3" t="s">
        <v>835</v>
      </c>
    </row>
    <row r="210" customFormat="false" ht="15.75" hidden="false" customHeight="false" outlineLevel="0" collapsed="false">
      <c r="A210" s="3" t="s">
        <v>306</v>
      </c>
      <c r="B210" s="3"/>
      <c r="C210" s="3" t="s">
        <v>738</v>
      </c>
    </row>
    <row r="211" customFormat="false" ht="15.75" hidden="false" customHeight="false" outlineLevel="0" collapsed="false">
      <c r="A211" s="3" t="s">
        <v>306</v>
      </c>
      <c r="B211" s="3"/>
      <c r="C211" s="3" t="s">
        <v>740</v>
      </c>
    </row>
    <row r="212" customFormat="false" ht="15.75" hidden="false" customHeight="false" outlineLevel="0" collapsed="false">
      <c r="A212" s="3" t="s">
        <v>306</v>
      </c>
      <c r="B212" s="3"/>
      <c r="C212" s="3" t="s">
        <v>936</v>
      </c>
    </row>
    <row r="213" customFormat="false" ht="15.75" hidden="false" customHeight="false" outlineLevel="0" collapsed="false">
      <c r="A213" s="3" t="s">
        <v>306</v>
      </c>
      <c r="B213" s="3"/>
      <c r="C213" s="3" t="s">
        <v>938</v>
      </c>
    </row>
    <row r="214" customFormat="false" ht="15.75" hidden="false" customHeight="false" outlineLevel="0" collapsed="false">
      <c r="A214" s="3" t="s">
        <v>306</v>
      </c>
      <c r="B214" s="3"/>
      <c r="C214" s="3" t="s">
        <v>940</v>
      </c>
    </row>
    <row r="215" customFormat="false" ht="15.75" hidden="false" customHeight="false" outlineLevel="0" collapsed="false">
      <c r="A215" s="3" t="s">
        <v>306</v>
      </c>
      <c r="B215" s="3"/>
      <c r="C215" s="3" t="s">
        <v>943</v>
      </c>
    </row>
    <row r="216" customFormat="false" ht="15.75" hidden="false" customHeight="false" outlineLevel="0" collapsed="false">
      <c r="A216" s="3" t="s">
        <v>306</v>
      </c>
      <c r="B216" s="3" t="s">
        <v>970</v>
      </c>
      <c r="C216" s="3" t="s">
        <v>986</v>
      </c>
    </row>
    <row r="217" customFormat="false" ht="15.75" hidden="false" customHeight="false" outlineLevel="0" collapsed="false">
      <c r="A217" s="3" t="s">
        <v>306</v>
      </c>
      <c r="B217" s="3" t="s">
        <v>914</v>
      </c>
    </row>
    <row r="218" customFormat="false" ht="15.75" hidden="false" customHeight="false" outlineLevel="0" collapsed="false">
      <c r="A218" s="3" t="s">
        <v>306</v>
      </c>
      <c r="B218" s="3"/>
      <c r="C218" s="3" t="s">
        <v>721</v>
      </c>
    </row>
    <row r="219" customFormat="false" ht="15.75" hidden="false" customHeight="false" outlineLevel="0" collapsed="false">
      <c r="A219" s="3" t="s">
        <v>306</v>
      </c>
      <c r="B219" s="3" t="s">
        <v>714</v>
      </c>
      <c r="C219" s="3" t="s">
        <v>717</v>
      </c>
    </row>
    <row r="220" customFormat="false" ht="15.75" hidden="false" customHeight="false" outlineLevel="0" collapsed="false">
      <c r="A220" s="3" t="s">
        <v>306</v>
      </c>
      <c r="B220" s="3" t="s">
        <v>927</v>
      </c>
      <c r="C220" s="3" t="s">
        <v>1090</v>
      </c>
    </row>
    <row r="221" customFormat="false" ht="15.75" hidden="false" customHeight="false" outlineLevel="0" collapsed="false">
      <c r="A221" s="3" t="s">
        <v>306</v>
      </c>
      <c r="B221" s="3" t="s">
        <v>818</v>
      </c>
      <c r="C221" s="3" t="s">
        <v>818</v>
      </c>
    </row>
    <row r="222" customFormat="false" ht="15.75" hidden="false" customHeight="false" outlineLevel="0" collapsed="false">
      <c r="A222" s="3" t="s">
        <v>306</v>
      </c>
      <c r="B222" s="3" t="s">
        <v>808</v>
      </c>
      <c r="C222" s="3" t="s">
        <v>808</v>
      </c>
    </row>
    <row r="223" customFormat="false" ht="15.75" hidden="false" customHeight="false" outlineLevel="0" collapsed="false">
      <c r="A223" s="3" t="s">
        <v>306</v>
      </c>
      <c r="B223" s="3" t="s">
        <v>810</v>
      </c>
      <c r="C223" s="3" t="s">
        <v>810</v>
      </c>
    </row>
    <row r="224" customFormat="false" ht="15.75" hidden="false" customHeight="false" outlineLevel="0" collapsed="false">
      <c r="A224" s="3" t="s">
        <v>306</v>
      </c>
      <c r="B224" s="3" t="s">
        <v>782</v>
      </c>
      <c r="C224" s="3"/>
    </row>
    <row r="225" customFormat="false" ht="15.75" hidden="false" customHeight="false" outlineLevel="0" collapsed="false">
      <c r="A225" s="3" t="s">
        <v>306</v>
      </c>
      <c r="B225" s="3" t="s">
        <v>1128</v>
      </c>
      <c r="C225" s="3" t="s">
        <v>1128</v>
      </c>
    </row>
    <row r="226" customFormat="false" ht="15.75" hidden="false" customHeight="false" outlineLevel="0" collapsed="false">
      <c r="A226" s="3" t="s">
        <v>306</v>
      </c>
      <c r="B226" s="3" t="s">
        <v>787</v>
      </c>
      <c r="C226" s="3"/>
    </row>
    <row r="227" customFormat="false" ht="15.75" hidden="false" customHeight="false" outlineLevel="0" collapsed="false">
      <c r="A227" s="3" t="s">
        <v>306</v>
      </c>
      <c r="B227" s="3" t="s">
        <v>796</v>
      </c>
      <c r="C227" s="3"/>
    </row>
    <row r="228" customFormat="false" ht="15.75" hidden="false" customHeight="false" outlineLevel="0" collapsed="false">
      <c r="A228" s="3" t="s">
        <v>306</v>
      </c>
      <c r="B228" s="3" t="s">
        <v>916</v>
      </c>
      <c r="C228" s="3"/>
    </row>
    <row r="229" customFormat="false" ht="15.75" hidden="false" customHeight="false" outlineLevel="0" collapsed="false">
      <c r="A229" s="3" t="s">
        <v>306</v>
      </c>
      <c r="B229" s="3"/>
      <c r="C229" s="3" t="s">
        <v>715</v>
      </c>
    </row>
    <row r="230" customFormat="false" ht="15.75" hidden="false" customHeight="false" outlineLevel="0" collapsed="false">
      <c r="A230" s="3" t="s">
        <v>306</v>
      </c>
      <c r="B230" s="3"/>
      <c r="C230" s="3" t="s">
        <v>719</v>
      </c>
    </row>
    <row r="231" customFormat="false" ht="15.75" hidden="false" customHeight="false" outlineLevel="0" collapsed="false">
      <c r="A231" s="3" t="s">
        <v>306</v>
      </c>
      <c r="B231" s="3"/>
      <c r="C231" s="3" t="s">
        <v>859</v>
      </c>
    </row>
    <row r="232" customFormat="false" ht="15.75" hidden="false" customHeight="false" outlineLevel="0" collapsed="false">
      <c r="A232" s="3" t="s">
        <v>306</v>
      </c>
      <c r="B232" s="3"/>
      <c r="C232" s="3" t="s">
        <v>861</v>
      </c>
    </row>
    <row r="233" customFormat="false" ht="15.75" hidden="false" customHeight="false" outlineLevel="0" collapsed="false">
      <c r="A233" s="3" t="s">
        <v>306</v>
      </c>
      <c r="B233" s="3"/>
      <c r="C233" s="3" t="s">
        <v>863</v>
      </c>
    </row>
    <row r="234" customFormat="false" ht="15.75" hidden="false" customHeight="false" outlineLevel="0" collapsed="false">
      <c r="A234" s="3" t="s">
        <v>306</v>
      </c>
      <c r="B234" s="3"/>
      <c r="C234" s="3" t="s">
        <v>884</v>
      </c>
    </row>
    <row r="235" customFormat="false" ht="15.75" hidden="false" customHeight="false" outlineLevel="0" collapsed="false">
      <c r="A235" s="3" t="s">
        <v>306</v>
      </c>
      <c r="B235" s="3"/>
      <c r="C235" s="3" t="s">
        <v>882</v>
      </c>
    </row>
    <row r="236" customFormat="false" ht="15.75" hidden="false" customHeight="false" outlineLevel="0" collapsed="false">
      <c r="A236" s="3" t="s">
        <v>306</v>
      </c>
      <c r="B236" s="3"/>
      <c r="C236" s="3" t="s">
        <v>888</v>
      </c>
    </row>
    <row r="237" customFormat="false" ht="15.75" hidden="false" customHeight="false" outlineLevel="0" collapsed="false">
      <c r="A237" s="3" t="s">
        <v>306</v>
      </c>
      <c r="B237" s="3"/>
      <c r="C237" s="3" t="s">
        <v>896</v>
      </c>
    </row>
    <row r="238" customFormat="false" ht="15.75" hidden="false" customHeight="false" outlineLevel="0" collapsed="false">
      <c r="A238" s="3" t="s">
        <v>306</v>
      </c>
      <c r="B238" s="3"/>
      <c r="C238" s="3" t="s">
        <v>898</v>
      </c>
    </row>
    <row r="239" customFormat="false" ht="15.75" hidden="false" customHeight="false" outlineLevel="0" collapsed="false">
      <c r="A239" s="3" t="s">
        <v>306</v>
      </c>
      <c r="B239" s="3"/>
      <c r="C239" s="3" t="s">
        <v>907</v>
      </c>
    </row>
    <row r="240" customFormat="false" ht="15.75" hidden="false" customHeight="false" outlineLevel="0" collapsed="false">
      <c r="A240" s="3" t="s">
        <v>306</v>
      </c>
      <c r="B240" s="3"/>
      <c r="C240" s="3" t="s">
        <v>909</v>
      </c>
    </row>
    <row r="241" customFormat="false" ht="15.75" hidden="false" customHeight="false" outlineLevel="0" collapsed="false">
      <c r="A241" s="3" t="s">
        <v>306</v>
      </c>
      <c r="B241" s="3"/>
      <c r="C241" s="3" t="s">
        <v>911</v>
      </c>
    </row>
    <row r="242" customFormat="false" ht="15.75" hidden="false" customHeight="false" outlineLevel="0" collapsed="false">
      <c r="A242" s="3" t="s">
        <v>306</v>
      </c>
      <c r="B242" s="3"/>
      <c r="C242" s="3" t="s">
        <v>917</v>
      </c>
    </row>
    <row r="243" customFormat="false" ht="15.75" hidden="false" customHeight="false" outlineLevel="0" collapsed="false">
      <c r="A243" s="3" t="s">
        <v>306</v>
      </c>
      <c r="B243" s="3"/>
      <c r="C243" s="3" t="s">
        <v>919</v>
      </c>
    </row>
    <row r="244" customFormat="false" ht="15.75" hidden="false" customHeight="false" outlineLevel="0" collapsed="false">
      <c r="A244" s="3" t="s">
        <v>306</v>
      </c>
      <c r="B244" s="3"/>
      <c r="C244" s="3" t="s">
        <v>957</v>
      </c>
    </row>
    <row r="245" customFormat="false" ht="15.75" hidden="false" customHeight="false" outlineLevel="0" collapsed="false">
      <c r="A245" s="3" t="s">
        <v>306</v>
      </c>
      <c r="B245" s="3"/>
      <c r="C245" s="3" t="s">
        <v>965</v>
      </c>
    </row>
    <row r="246" customFormat="false" ht="15.75" hidden="false" customHeight="false" outlineLevel="0" collapsed="false">
      <c r="A246" s="3" t="s">
        <v>306</v>
      </c>
      <c r="B246" s="3"/>
      <c r="C246" s="3" t="s">
        <v>1006</v>
      </c>
    </row>
    <row r="247" customFormat="false" ht="15.75" hidden="false" customHeight="false" outlineLevel="0" collapsed="false">
      <c r="A247" s="3" t="s">
        <v>306</v>
      </c>
      <c r="B247" s="3"/>
      <c r="C247" s="3" t="s">
        <v>1010</v>
      </c>
    </row>
    <row r="248" customFormat="false" ht="15.75" hidden="false" customHeight="false" outlineLevel="0" collapsed="false">
      <c r="A248" s="3" t="s">
        <v>306</v>
      </c>
      <c r="B248" s="3"/>
      <c r="C248" s="3" t="s">
        <v>1011</v>
      </c>
    </row>
    <row r="249" customFormat="false" ht="15.75" hidden="false" customHeight="false" outlineLevel="0" collapsed="false">
      <c r="A249" s="3" t="s">
        <v>306</v>
      </c>
      <c r="B249" s="3"/>
      <c r="C249" s="3" t="s">
        <v>1028</v>
      </c>
    </row>
    <row r="250" customFormat="false" ht="15.75" hidden="false" customHeight="false" outlineLevel="0" collapsed="false">
      <c r="A250" s="3" t="s">
        <v>306</v>
      </c>
      <c r="B250" s="3"/>
      <c r="C250" s="3" t="s">
        <v>1089</v>
      </c>
    </row>
    <row r="251" customFormat="false" ht="15.75" hidden="false" customHeight="false" outlineLevel="0" collapsed="false">
      <c r="A251" s="3" t="s">
        <v>305</v>
      </c>
      <c r="B251" s="3"/>
      <c r="C251" s="3" t="s">
        <v>1050</v>
      </c>
    </row>
    <row r="252" customFormat="false" ht="15.75" hidden="false" customHeight="false" outlineLevel="0" collapsed="false">
      <c r="A252" s="3" t="s">
        <v>305</v>
      </c>
      <c r="B252" s="3"/>
      <c r="C252" s="3" t="s">
        <v>1051</v>
      </c>
    </row>
    <row r="253" customFormat="false" ht="15.75" hidden="false" customHeight="false" outlineLevel="0" collapsed="false">
      <c r="A253" s="3" t="s">
        <v>305</v>
      </c>
      <c r="B253" s="3"/>
      <c r="C253" s="3" t="s">
        <v>1052</v>
      </c>
    </row>
    <row r="254" customFormat="false" ht="15.75" hidden="false" customHeight="false" outlineLevel="0" collapsed="false">
      <c r="A254" s="3" t="s">
        <v>305</v>
      </c>
      <c r="B254" s="3"/>
      <c r="C254" s="3" t="s">
        <v>1053</v>
      </c>
    </row>
    <row r="255" customFormat="false" ht="15.75" hidden="false" customHeight="false" outlineLevel="0" collapsed="false">
      <c r="A255" s="3" t="s">
        <v>305</v>
      </c>
      <c r="B255" s="3"/>
      <c r="C255" s="3" t="s">
        <v>1054</v>
      </c>
    </row>
    <row r="256" customFormat="false" ht="15.75" hidden="false" customHeight="false" outlineLevel="0" collapsed="false">
      <c r="A256" s="3" t="s">
        <v>305</v>
      </c>
      <c r="B256" s="3"/>
      <c r="C256" s="3" t="s">
        <v>1055</v>
      </c>
    </row>
    <row r="257" customFormat="false" ht="15.75" hidden="false" customHeight="false" outlineLevel="0" collapsed="false">
      <c r="A257" s="3" t="s">
        <v>305</v>
      </c>
      <c r="B257" s="3"/>
      <c r="C257" s="3" t="s">
        <v>1004</v>
      </c>
    </row>
    <row r="258" customFormat="false" ht="15.75" hidden="false" customHeight="false" outlineLevel="0" collapsed="false">
      <c r="A258" s="3" t="s">
        <v>305</v>
      </c>
      <c r="B258" s="3" t="s">
        <v>869</v>
      </c>
      <c r="C258" s="3"/>
    </row>
    <row r="259" customFormat="false" ht="15.75" hidden="false" customHeight="false" outlineLevel="0" collapsed="false">
      <c r="A259" s="3" t="s">
        <v>305</v>
      </c>
      <c r="B259" s="3" t="s">
        <v>862</v>
      </c>
      <c r="C259" s="3"/>
    </row>
    <row r="260" customFormat="false" ht="15.75" hidden="false" customHeight="false" outlineLevel="0" collapsed="false">
      <c r="A260" s="3" t="s">
        <v>305</v>
      </c>
      <c r="B260" s="3" t="s">
        <v>895</v>
      </c>
      <c r="C260" s="3"/>
    </row>
    <row r="261" customFormat="false" ht="15.75" hidden="false" customHeight="false" outlineLevel="0" collapsed="false">
      <c r="A261" s="3" t="s">
        <v>305</v>
      </c>
      <c r="B261" s="3"/>
      <c r="C261" s="3" t="s">
        <v>1022</v>
      </c>
    </row>
    <row r="262" customFormat="false" ht="15.75" hidden="false" customHeight="false" outlineLevel="0" collapsed="false">
      <c r="A262" s="3" t="s">
        <v>307</v>
      </c>
      <c r="B262" s="3" t="s">
        <v>1129</v>
      </c>
      <c r="C262" s="3" t="s">
        <v>1129</v>
      </c>
    </row>
    <row r="263" customFormat="false" ht="15.75" hidden="false" customHeight="false" outlineLevel="0" collapsed="false">
      <c r="A263" s="3" t="s">
        <v>307</v>
      </c>
      <c r="B263" s="3"/>
      <c r="C263" s="3" t="s">
        <v>779</v>
      </c>
    </row>
    <row r="264" customFormat="false" ht="15.75" hidden="false" customHeight="false" outlineLevel="0" collapsed="false">
      <c r="A264" s="3" t="s">
        <v>307</v>
      </c>
      <c r="B264" s="3"/>
      <c r="C264" s="3" t="s">
        <v>781</v>
      </c>
    </row>
    <row r="265" customFormat="false" ht="15.75" hidden="false" customHeight="false" outlineLevel="0" collapsed="false">
      <c r="A265" s="3" t="s">
        <v>307</v>
      </c>
      <c r="B265" s="3"/>
      <c r="C265" s="3" t="s">
        <v>784</v>
      </c>
    </row>
    <row r="266" customFormat="false" ht="15.75" hidden="false" customHeight="false" outlineLevel="0" collapsed="false">
      <c r="A266" s="3" t="s">
        <v>307</v>
      </c>
      <c r="B266" s="3"/>
      <c r="C266" s="3" t="s">
        <v>786</v>
      </c>
    </row>
    <row r="267" customFormat="false" ht="15.75" hidden="false" customHeight="false" outlineLevel="0" collapsed="false">
      <c r="A267" s="3" t="s">
        <v>307</v>
      </c>
      <c r="B267" s="3"/>
      <c r="C267" s="3" t="s">
        <v>788</v>
      </c>
    </row>
    <row r="268" customFormat="false" ht="15.75" hidden="false" customHeight="false" outlineLevel="0" collapsed="false">
      <c r="A268" s="3" t="s">
        <v>307</v>
      </c>
      <c r="B268" s="3"/>
      <c r="C268" s="3" t="s">
        <v>797</v>
      </c>
    </row>
    <row r="269" customFormat="false" ht="15.75" hidden="false" customHeight="false" outlineLevel="0" collapsed="false">
      <c r="A269" s="3" t="s">
        <v>307</v>
      </c>
      <c r="B269" s="3"/>
      <c r="C269" s="3" t="s">
        <v>799</v>
      </c>
    </row>
    <row r="270" customFormat="false" ht="15.75" hidden="false" customHeight="false" outlineLevel="0" collapsed="false">
      <c r="A270" s="3" t="s">
        <v>305</v>
      </c>
      <c r="B270" s="3"/>
      <c r="C270" s="3" t="s">
        <v>827</v>
      </c>
    </row>
    <row r="271" customFormat="false" ht="15.75" hidden="false" customHeight="false" outlineLevel="0" collapsed="false">
      <c r="A271" s="3" t="s">
        <v>305</v>
      </c>
      <c r="B271" s="3" t="s">
        <v>1130</v>
      </c>
      <c r="C271" s="3" t="s">
        <v>1130</v>
      </c>
    </row>
    <row r="272" customFormat="false" ht="15.75" hidden="false" customHeight="false" outlineLevel="0" collapsed="false">
      <c r="A272" s="3" t="s">
        <v>305</v>
      </c>
      <c r="B272" s="3" t="s">
        <v>922</v>
      </c>
      <c r="C272" s="3"/>
    </row>
    <row r="273" customFormat="false" ht="15.75" hidden="false" customHeight="false" outlineLevel="0" collapsed="false">
      <c r="A273" s="3" t="s">
        <v>305</v>
      </c>
      <c r="B273" s="3" t="s">
        <v>926</v>
      </c>
      <c r="C273" s="3"/>
    </row>
    <row r="274" customFormat="false" ht="15.75" hidden="false" customHeight="false" outlineLevel="0" collapsed="false">
      <c r="A274" s="3" t="s">
        <v>305</v>
      </c>
      <c r="B274" s="3" t="s">
        <v>921</v>
      </c>
      <c r="C274" s="3" t="s">
        <v>921</v>
      </c>
    </row>
    <row r="275" customFormat="false" ht="15.75" hidden="false" customHeight="false" outlineLevel="0" collapsed="false">
      <c r="A275" s="3" t="s">
        <v>1131</v>
      </c>
      <c r="B275" s="3" t="s">
        <v>811</v>
      </c>
      <c r="C275" s="3"/>
    </row>
    <row r="276" customFormat="false" ht="15.75" hidden="false" customHeight="false" outlineLevel="0" collapsed="false">
      <c r="A276" s="3" t="s">
        <v>1132</v>
      </c>
      <c r="B276" s="3" t="s">
        <v>739</v>
      </c>
      <c r="C276" s="3" t="s">
        <v>771</v>
      </c>
    </row>
    <row r="277" customFormat="false" ht="15.75" hidden="false" customHeight="false" outlineLevel="0" collapsed="false">
      <c r="A277" s="3" t="s">
        <v>1133</v>
      </c>
      <c r="B277" s="3" t="s">
        <v>924</v>
      </c>
      <c r="C277" s="3" t="s">
        <v>754</v>
      </c>
    </row>
    <row r="278" customFormat="false" ht="15.75" hidden="false" customHeight="false" outlineLevel="0" collapsed="false">
      <c r="A278" s="3" t="s">
        <v>1132</v>
      </c>
      <c r="B278" s="3" t="s">
        <v>755</v>
      </c>
      <c r="C278" s="3"/>
    </row>
    <row r="279" customFormat="false" ht="15.75" hidden="false" customHeight="false" outlineLevel="0" collapsed="false">
      <c r="A279" s="3" t="s">
        <v>1131</v>
      </c>
      <c r="B279" s="3" t="s">
        <v>798</v>
      </c>
      <c r="C279" s="3" t="s">
        <v>892</v>
      </c>
    </row>
    <row r="280" customFormat="false" ht="15.75" hidden="false" customHeight="false" outlineLevel="0" collapsed="false">
      <c r="A280" s="3" t="s">
        <v>1131</v>
      </c>
      <c r="B280" s="3" t="s">
        <v>798</v>
      </c>
      <c r="C280" s="3" t="s">
        <v>894</v>
      </c>
    </row>
    <row r="281" customFormat="false" ht="15.75" hidden="false" customHeight="false" outlineLevel="0" collapsed="false">
      <c r="A281" s="3" t="s">
        <v>1131</v>
      </c>
      <c r="B281" s="3" t="s">
        <v>806</v>
      </c>
      <c r="C281" s="3" t="s">
        <v>806</v>
      </c>
    </row>
    <row r="282" customFormat="false" ht="15.75" hidden="false" customHeight="false" outlineLevel="0" collapsed="false">
      <c r="A282" s="3" t="s">
        <v>1133</v>
      </c>
      <c r="B282" s="3"/>
      <c r="C282" s="3" t="s">
        <v>1047</v>
      </c>
    </row>
    <row r="283" customFormat="false" ht="15.75" hidden="false" customHeight="false" outlineLevel="0" collapsed="false">
      <c r="A283" s="3" t="s">
        <v>1134</v>
      </c>
      <c r="B283" s="3"/>
      <c r="C283" s="3" t="s">
        <v>1043</v>
      </c>
    </row>
    <row r="284" customFormat="false" ht="15.75" hidden="false" customHeight="false" outlineLevel="0" collapsed="false">
      <c r="A284" s="3" t="s">
        <v>1134</v>
      </c>
      <c r="B284" s="3"/>
      <c r="C284" s="3" t="s">
        <v>821</v>
      </c>
    </row>
    <row r="285" customFormat="false" ht="15.75" hidden="false" customHeight="false" outlineLevel="0" collapsed="false">
      <c r="A285" s="3" t="s">
        <v>1134</v>
      </c>
      <c r="B285" s="3"/>
      <c r="C285" s="3" t="s">
        <v>819</v>
      </c>
    </row>
    <row r="286" customFormat="false" ht="15.75" hidden="false" customHeight="false" outlineLevel="0" collapsed="false">
      <c r="A286" s="3" t="s">
        <v>1134</v>
      </c>
      <c r="B286" s="3" t="s">
        <v>800</v>
      </c>
      <c r="C286" s="3" t="s">
        <v>800</v>
      </c>
    </row>
    <row r="287" customFormat="false" ht="15.75" hidden="false" customHeight="false" outlineLevel="0" collapsed="false">
      <c r="A287" s="3" t="s">
        <v>1134</v>
      </c>
      <c r="B287" s="3" t="s">
        <v>800</v>
      </c>
      <c r="C287" s="3" t="s">
        <v>866</v>
      </c>
    </row>
    <row r="288" customFormat="false" ht="15.75" hidden="false" customHeight="false" outlineLevel="0" collapsed="false">
      <c r="A288" s="3" t="s">
        <v>1134</v>
      </c>
      <c r="B288" s="3" t="s">
        <v>800</v>
      </c>
      <c r="C288" s="3" t="s">
        <v>932</v>
      </c>
    </row>
    <row r="289" customFormat="false" ht="15.75" hidden="false" customHeight="false" outlineLevel="0" collapsed="false">
      <c r="A289" s="3" t="s">
        <v>1134</v>
      </c>
      <c r="B289" s="3" t="s">
        <v>800</v>
      </c>
      <c r="C289" s="3" t="s">
        <v>945</v>
      </c>
    </row>
    <row r="290" customFormat="false" ht="15.75" hidden="false" customHeight="false" outlineLevel="0" collapsed="false">
      <c r="A290" s="3" t="s">
        <v>1134</v>
      </c>
      <c r="B290" s="3"/>
      <c r="C290" s="3" t="s">
        <v>1012</v>
      </c>
    </row>
    <row r="291" customFormat="false" ht="15.75" hidden="false" customHeight="false" outlineLevel="0" collapsed="false">
      <c r="A291" s="3" t="s">
        <v>687</v>
      </c>
      <c r="B291" s="3" t="s">
        <v>979</v>
      </c>
      <c r="C291" s="3" t="s">
        <v>1093</v>
      </c>
    </row>
    <row r="292" customFormat="false" ht="15.75" hidden="false" customHeight="false" outlineLevel="0" collapsed="false">
      <c r="A292" s="3" t="s">
        <v>688</v>
      </c>
      <c r="B292" s="3" t="s">
        <v>1135</v>
      </c>
      <c r="C292" s="3" t="s">
        <v>1135</v>
      </c>
    </row>
    <row r="293" customFormat="false" ht="15.75" hidden="false" customHeight="false" outlineLevel="0" collapsed="false">
      <c r="A293" s="3" t="s">
        <v>688</v>
      </c>
      <c r="B293" s="3"/>
      <c r="C293" s="3" t="s">
        <v>752</v>
      </c>
    </row>
    <row r="294" customFormat="false" ht="15.75" hidden="false" customHeight="false" outlineLevel="0" collapsed="false">
      <c r="A294" s="3" t="s">
        <v>688</v>
      </c>
      <c r="B294" s="3" t="s">
        <v>868</v>
      </c>
      <c r="C294" s="3"/>
    </row>
    <row r="295" customFormat="false" ht="15.75" hidden="false" customHeight="false" outlineLevel="0" collapsed="false">
      <c r="A295" s="3" t="s">
        <v>1136</v>
      </c>
      <c r="B295" s="3" t="s">
        <v>780</v>
      </c>
      <c r="C295" s="3" t="s">
        <v>984</v>
      </c>
    </row>
    <row r="296" customFormat="false" ht="15.75" hidden="false" customHeight="false" outlineLevel="0" collapsed="false">
      <c r="A296" s="3" t="s">
        <v>1136</v>
      </c>
      <c r="B296" s="3" t="s">
        <v>942</v>
      </c>
      <c r="C296" s="3"/>
    </row>
    <row r="297" customFormat="false" ht="15.75" hidden="false" customHeight="false" outlineLevel="0" collapsed="false">
      <c r="A297" s="3" t="s">
        <v>1136</v>
      </c>
      <c r="B297" s="3" t="s">
        <v>785</v>
      </c>
      <c r="C297" s="3"/>
    </row>
    <row r="298" customFormat="false" ht="15.75" hidden="false" customHeight="false" outlineLevel="0" collapsed="false">
      <c r="A298" s="3" t="s">
        <v>1136</v>
      </c>
      <c r="B298" s="3"/>
      <c r="C298" s="3" t="s">
        <v>959</v>
      </c>
    </row>
    <row r="299" customFormat="false" ht="15.75" hidden="false" customHeight="false" outlineLevel="0" collapsed="false">
      <c r="A299" s="3" t="s">
        <v>1136</v>
      </c>
      <c r="B299" s="3" t="s">
        <v>772</v>
      </c>
      <c r="C299" s="3" t="s">
        <v>772</v>
      </c>
    </row>
    <row r="300" customFormat="false" ht="15.75" hidden="false" customHeight="false" outlineLevel="0" collapsed="false">
      <c r="A300" s="3" t="s">
        <v>1136</v>
      </c>
      <c r="B300" s="3" t="s">
        <v>1137</v>
      </c>
      <c r="C300" s="3" t="s">
        <v>1137</v>
      </c>
    </row>
    <row r="301" customFormat="false" ht="15.75" hidden="false" customHeight="false" outlineLevel="0" collapsed="false">
      <c r="A301" s="3" t="s">
        <v>1136</v>
      </c>
      <c r="B301" s="3"/>
      <c r="C301" s="3" t="s">
        <v>947</v>
      </c>
    </row>
    <row r="302" customFormat="false" ht="15.75" hidden="false" customHeight="false" outlineLevel="0" collapsed="false">
      <c r="A302" s="3" t="s">
        <v>1138</v>
      </c>
      <c r="B302" s="3"/>
      <c r="C302" s="3" t="s">
        <v>794</v>
      </c>
    </row>
    <row r="303" customFormat="false" ht="15.75" hidden="false" customHeight="false" outlineLevel="0" collapsed="false">
      <c r="A303" s="3" t="s">
        <v>1138</v>
      </c>
      <c r="B303" s="3" t="s">
        <v>1139</v>
      </c>
      <c r="C303" s="3" t="s">
        <v>1139</v>
      </c>
    </row>
    <row r="304" customFormat="false" ht="15.75" hidden="false" customHeight="false" outlineLevel="0" collapsed="false">
      <c r="A304" s="3" t="s">
        <v>703</v>
      </c>
      <c r="B304" s="3"/>
      <c r="C304" s="3" t="s">
        <v>1057</v>
      </c>
    </row>
    <row r="305" customFormat="false" ht="15.75" hidden="false" customHeight="false" outlineLevel="0" collapsed="false">
      <c r="A305" s="3" t="s">
        <v>703</v>
      </c>
      <c r="B305" s="3" t="s">
        <v>1140</v>
      </c>
      <c r="C305" s="3" t="s">
        <v>1140</v>
      </c>
    </row>
    <row r="306" customFormat="false" ht="15.75" hidden="false" customHeight="false" outlineLevel="0" collapsed="false">
      <c r="A306" s="3" t="s">
        <v>1141</v>
      </c>
      <c r="B306" s="3" t="s">
        <v>826</v>
      </c>
      <c r="C306" s="3" t="s">
        <v>1082</v>
      </c>
    </row>
    <row r="307" customFormat="false" ht="15.75" hidden="false" customHeight="false" outlineLevel="0" collapsed="false">
      <c r="A307" s="3" t="s">
        <v>1141</v>
      </c>
      <c r="B307" s="3"/>
      <c r="C307" s="3" t="s">
        <v>963</v>
      </c>
    </row>
    <row r="308" customFormat="false" ht="15.75" hidden="false" customHeight="false" outlineLevel="0" collapsed="false">
      <c r="A308" s="3" t="s">
        <v>1142</v>
      </c>
      <c r="B308" s="3"/>
      <c r="C308" s="3" t="s">
        <v>961</v>
      </c>
    </row>
    <row r="309" customFormat="false" ht="15.75" hidden="false" customHeight="false" outlineLevel="0" collapsed="false">
      <c r="A309" s="3" t="s">
        <v>699</v>
      </c>
      <c r="B309" s="3"/>
      <c r="C309" s="3" t="s">
        <v>999</v>
      </c>
    </row>
    <row r="310" customFormat="false" ht="15.75" hidden="false" customHeight="false" outlineLevel="0" collapsed="false">
      <c r="A310" s="3" t="s">
        <v>699</v>
      </c>
      <c r="B310" s="3" t="s">
        <v>889</v>
      </c>
      <c r="C310" s="3" t="s">
        <v>889</v>
      </c>
    </row>
    <row r="311" customFormat="false" ht="15.75" hidden="false" customHeight="false" outlineLevel="0" collapsed="false">
      <c r="A311" s="3" t="s">
        <v>699</v>
      </c>
      <c r="B311" s="3" t="s">
        <v>840</v>
      </c>
      <c r="C311" s="3" t="s">
        <v>840</v>
      </c>
    </row>
    <row r="312" customFormat="false" ht="15.75" hidden="false" customHeight="false" outlineLevel="0" collapsed="false">
      <c r="A312" s="3" t="s">
        <v>699</v>
      </c>
      <c r="B312" s="3" t="s">
        <v>1143</v>
      </c>
      <c r="C312" s="3" t="s">
        <v>1143</v>
      </c>
    </row>
    <row r="313" customFormat="false" ht="15.75" hidden="false" customHeight="false" outlineLevel="0" collapsed="false">
      <c r="A313" s="3" t="s">
        <v>699</v>
      </c>
      <c r="B313" s="3"/>
      <c r="C313" s="3" t="s">
        <v>1029</v>
      </c>
    </row>
    <row r="314" customFormat="false" ht="15.75" hidden="false" customHeight="false" outlineLevel="0" collapsed="false">
      <c r="A314" s="3" t="s">
        <v>1144</v>
      </c>
      <c r="B314" s="3"/>
      <c r="C314" s="3" t="s">
        <v>817</v>
      </c>
    </row>
    <row r="315" customFormat="false" ht="15.75" hidden="false" customHeight="false" outlineLevel="0" collapsed="false">
      <c r="A315" s="3" t="s">
        <v>699</v>
      </c>
      <c r="B315" s="3"/>
      <c r="C315" s="3" t="s">
        <v>1044</v>
      </c>
    </row>
    <row r="316" customFormat="false" ht="15.75" hidden="false" customHeight="false" outlineLevel="0" collapsed="false">
      <c r="A316" s="3" t="s">
        <v>321</v>
      </c>
      <c r="B316" s="3" t="s">
        <v>1145</v>
      </c>
      <c r="C316" s="3" t="s">
        <v>1145</v>
      </c>
    </row>
    <row r="317" customFormat="false" ht="15.75" hidden="false" customHeight="false" outlineLevel="0" collapsed="false">
      <c r="A317" s="3" t="s">
        <v>321</v>
      </c>
      <c r="B317" s="3" t="s">
        <v>1146</v>
      </c>
      <c r="C317" s="3" t="s">
        <v>1146</v>
      </c>
    </row>
    <row r="318" customFormat="false" ht="15.75" hidden="false" customHeight="false" outlineLevel="0" collapsed="false">
      <c r="A318" s="3" t="s">
        <v>1144</v>
      </c>
      <c r="B318" s="3"/>
      <c r="C318" s="3" t="s">
        <v>807</v>
      </c>
    </row>
    <row r="319" customFormat="false" ht="15.75" hidden="false" customHeight="false" outlineLevel="0" collapsed="false">
      <c r="A319" s="3" t="s">
        <v>321</v>
      </c>
      <c r="B319" s="3"/>
      <c r="C319" s="3" t="s">
        <v>757</v>
      </c>
    </row>
    <row r="320" customFormat="false" ht="15.75" hidden="false" customHeight="false" outlineLevel="0" collapsed="false">
      <c r="A320" s="3" t="s">
        <v>698</v>
      </c>
      <c r="B320" s="3" t="s">
        <v>887</v>
      </c>
      <c r="C320" s="3" t="s">
        <v>887</v>
      </c>
    </row>
    <row r="321" customFormat="false" ht="15.75" hidden="false" customHeight="false" outlineLevel="0" collapsed="false">
      <c r="A321" s="3" t="s">
        <v>698</v>
      </c>
      <c r="B321" s="3"/>
      <c r="C321" s="3" t="s">
        <v>1027</v>
      </c>
    </row>
    <row r="322" customFormat="false" ht="15.75" hidden="false" customHeight="false" outlineLevel="0" collapsed="false">
      <c r="A322" s="3" t="s">
        <v>698</v>
      </c>
      <c r="B322" s="3" t="s">
        <v>838</v>
      </c>
      <c r="C322" s="3" t="s">
        <v>838</v>
      </c>
    </row>
    <row r="323" customFormat="false" ht="15.75" hidden="false" customHeight="false" outlineLevel="0" collapsed="false">
      <c r="A323" s="3" t="s">
        <v>1147</v>
      </c>
      <c r="B323" s="3"/>
      <c r="C323" s="3" t="s">
        <v>725</v>
      </c>
    </row>
    <row r="324" customFormat="false" ht="15.75" hidden="false" customHeight="false" outlineLevel="0" collapsed="false">
      <c r="A324" s="3" t="s">
        <v>1147</v>
      </c>
      <c r="B324" s="3" t="s">
        <v>1148</v>
      </c>
      <c r="C324" s="3" t="s">
        <v>1148</v>
      </c>
    </row>
    <row r="325" customFormat="false" ht="15.75" hidden="false" customHeight="false" outlineLevel="0" collapsed="false">
      <c r="A325" s="3" t="s">
        <v>1147</v>
      </c>
      <c r="B325" s="3"/>
      <c r="C325" s="3" t="s">
        <v>825</v>
      </c>
    </row>
    <row r="326" customFormat="false" ht="15.75" hidden="false" customHeight="false" outlineLevel="0" collapsed="false">
      <c r="A326" s="3" t="s">
        <v>1147</v>
      </c>
      <c r="B326" s="3"/>
      <c r="C326" s="3" t="s">
        <v>890</v>
      </c>
    </row>
    <row r="327" customFormat="false" ht="15.75" hidden="false" customHeight="false" outlineLevel="0" collapsed="false">
      <c r="A327" s="3" t="s">
        <v>698</v>
      </c>
      <c r="B327" s="3"/>
      <c r="C327" s="3" t="s">
        <v>1014</v>
      </c>
    </row>
    <row r="328" customFormat="false" ht="15.75" hidden="false" customHeight="false" outlineLevel="0" collapsed="false">
      <c r="A328" s="3" t="s">
        <v>705</v>
      </c>
      <c r="B328" s="3" t="s">
        <v>1015</v>
      </c>
      <c r="C328" s="3" t="s">
        <v>1015</v>
      </c>
    </row>
    <row r="329" customFormat="false" ht="15.75" hidden="false" customHeight="false" outlineLevel="0" collapsed="false">
      <c r="A329" s="3" t="s">
        <v>705</v>
      </c>
      <c r="B329" s="3" t="s">
        <v>893</v>
      </c>
      <c r="C329" s="3" t="s">
        <v>893</v>
      </c>
    </row>
    <row r="330" customFormat="false" ht="15.75" hidden="false" customHeight="false" outlineLevel="0" collapsed="false">
      <c r="A330" s="3" t="s">
        <v>705</v>
      </c>
      <c r="B330" s="3" t="s">
        <v>883</v>
      </c>
      <c r="C330" s="3"/>
    </row>
    <row r="331" customFormat="false" ht="15.75" hidden="false" customHeight="false" outlineLevel="0" collapsed="false">
      <c r="A331" s="3" t="s">
        <v>704</v>
      </c>
      <c r="B331" s="3" t="s">
        <v>891</v>
      </c>
      <c r="C331" s="3"/>
    </row>
    <row r="332" customFormat="false" ht="15.75" hidden="false" customHeight="false" outlineLevel="0" collapsed="false">
      <c r="A332" s="3" t="s">
        <v>1149</v>
      </c>
      <c r="B332" s="3"/>
      <c r="C332" s="3" t="s">
        <v>744</v>
      </c>
    </row>
    <row r="333" customFormat="false" ht="15.75" hidden="false" customHeight="false" outlineLevel="0" collapsed="false">
      <c r="A333" s="3" t="s">
        <v>1149</v>
      </c>
      <c r="B333" s="3"/>
      <c r="C333" s="3" t="s">
        <v>746</v>
      </c>
    </row>
    <row r="334" customFormat="false" ht="15.75" hidden="false" customHeight="false" outlineLevel="0" collapsed="false">
      <c r="A334" s="3" t="s">
        <v>1149</v>
      </c>
      <c r="B334" s="3"/>
      <c r="C334" s="3" t="s">
        <v>748</v>
      </c>
    </row>
    <row r="335" customFormat="false" ht="15.75" hidden="false" customHeight="false" outlineLevel="0" collapsed="false">
      <c r="A335" s="3" t="s">
        <v>1149</v>
      </c>
      <c r="B335" s="3"/>
      <c r="C335" s="3" t="s">
        <v>750</v>
      </c>
    </row>
    <row r="336" customFormat="false" ht="15.75" hidden="false" customHeight="false" outlineLevel="0" collapsed="false">
      <c r="A336" s="3" t="s">
        <v>1149</v>
      </c>
      <c r="B336" s="3"/>
      <c r="C336" s="3" t="s">
        <v>1034</v>
      </c>
    </row>
    <row r="337" customFormat="false" ht="15.75" hidden="false" customHeight="false" outlineLevel="0" collapsed="false">
      <c r="A337" s="3" t="s">
        <v>1150</v>
      </c>
      <c r="B337" s="3"/>
      <c r="C337" s="3" t="s">
        <v>903</v>
      </c>
    </row>
    <row r="338" customFormat="false" ht="15.75" hidden="false" customHeight="false" outlineLevel="0" collapsed="false">
      <c r="A338" s="3" t="s">
        <v>1150</v>
      </c>
      <c r="B338" s="3"/>
      <c r="C338" s="3" t="s">
        <v>1005</v>
      </c>
    </row>
    <row r="339" customFormat="false" ht="15.75" hidden="false" customHeight="false" outlineLevel="0" collapsed="false">
      <c r="A339" s="3" t="s">
        <v>1150</v>
      </c>
      <c r="B339" s="3"/>
      <c r="C339" s="3" t="s">
        <v>1007</v>
      </c>
    </row>
    <row r="340" customFormat="false" ht="15.75" hidden="false" customHeight="false" outlineLevel="0" collapsed="false">
      <c r="A340" s="3" t="s">
        <v>1150</v>
      </c>
      <c r="B340" s="3"/>
      <c r="C340" s="3" t="s">
        <v>1026</v>
      </c>
    </row>
    <row r="341" customFormat="false" ht="15.75" hidden="false" customHeight="false" outlineLevel="0" collapsed="false">
      <c r="A341" s="3" t="s">
        <v>1150</v>
      </c>
      <c r="B341" s="3"/>
      <c r="C341" s="3" t="s">
        <v>1042</v>
      </c>
    </row>
    <row r="342" customFormat="false" ht="15.75" hidden="false" customHeight="false" outlineLevel="0" collapsed="false">
      <c r="A342" s="3" t="s">
        <v>1151</v>
      </c>
      <c r="B342" s="3"/>
      <c r="C342" s="3" t="s">
        <v>1019</v>
      </c>
    </row>
    <row r="343" customFormat="false" ht="15.75" hidden="false" customHeight="false" outlineLevel="0" collapsed="false">
      <c r="A343" s="3" t="s">
        <v>1151</v>
      </c>
      <c r="B343" s="3"/>
      <c r="C343" s="3" t="s">
        <v>1031</v>
      </c>
    </row>
    <row r="344" customFormat="false" ht="15.75" hidden="false" customHeight="false" outlineLevel="0" collapsed="false">
      <c r="A344" s="3" t="s">
        <v>1151</v>
      </c>
      <c r="B344" s="3"/>
      <c r="C344" s="3" t="s">
        <v>1032</v>
      </c>
    </row>
    <row r="345" customFormat="false" ht="15.75" hidden="false" customHeight="false" outlineLevel="0" collapsed="false">
      <c r="A345" s="3" t="s">
        <v>1151</v>
      </c>
      <c r="B345" s="3"/>
      <c r="C345" s="3" t="s">
        <v>995</v>
      </c>
    </row>
    <row r="346" customFormat="false" ht="15.75" hidden="false" customHeight="false" outlineLevel="0" collapsed="false">
      <c r="A346" s="3" t="s">
        <v>318</v>
      </c>
      <c r="B346" s="3" t="s">
        <v>1152</v>
      </c>
      <c r="C346" s="3" t="s">
        <v>1152</v>
      </c>
    </row>
    <row r="347" customFormat="false" ht="15.75" hidden="false" customHeight="false" outlineLevel="0" collapsed="false">
      <c r="A347" s="3" t="s">
        <v>318</v>
      </c>
      <c r="B347" s="3" t="s">
        <v>897</v>
      </c>
      <c r="C347" s="3"/>
    </row>
    <row r="348" customFormat="false" ht="15.75" hidden="false" customHeight="false" outlineLevel="0" collapsed="false">
      <c r="A348" s="3" t="s">
        <v>1153</v>
      </c>
      <c r="B348" s="3"/>
      <c r="C348" s="3" t="s">
        <v>801</v>
      </c>
    </row>
    <row r="349" customFormat="false" ht="15.75" hidden="false" customHeight="false" outlineLevel="0" collapsed="false">
      <c r="A349" s="3" t="s">
        <v>318</v>
      </c>
      <c r="B349" s="3"/>
      <c r="C349" s="3" t="s">
        <v>1058</v>
      </c>
    </row>
    <row r="350" customFormat="false" ht="15.75" hidden="false" customHeight="false" outlineLevel="0" collapsed="false">
      <c r="A350" s="3" t="s">
        <v>1154</v>
      </c>
      <c r="B350" s="3" t="s">
        <v>934</v>
      </c>
      <c r="C350" s="3"/>
    </row>
    <row r="351" customFormat="false" ht="15.75" hidden="false" customHeight="false" outlineLevel="0" collapsed="false">
      <c r="A351" s="3" t="s">
        <v>1154</v>
      </c>
      <c r="B351" s="3"/>
      <c r="C351" s="3" t="s">
        <v>870</v>
      </c>
    </row>
    <row r="352" customFormat="false" ht="15.75" hidden="false" customHeight="false" outlineLevel="0" collapsed="false">
      <c r="A352" s="3" t="s">
        <v>713</v>
      </c>
      <c r="B352" s="3"/>
      <c r="C352" s="3" t="s">
        <v>967</v>
      </c>
    </row>
    <row r="353" customFormat="false" ht="15.75" hidden="false" customHeight="false" outlineLevel="0" collapsed="false">
      <c r="A353" s="3" t="s">
        <v>713</v>
      </c>
      <c r="B353" s="3"/>
      <c r="C353" s="3" t="s">
        <v>969</v>
      </c>
    </row>
    <row r="354" customFormat="false" ht="15.75" hidden="false" customHeight="false" outlineLevel="0" collapsed="false">
      <c r="A354" s="3" t="s">
        <v>713</v>
      </c>
      <c r="B354" s="3"/>
      <c r="C354" s="3" t="s">
        <v>971</v>
      </c>
    </row>
    <row r="355" customFormat="false" ht="15.75" hidden="false" customHeight="false" outlineLevel="0" collapsed="false">
      <c r="A355" s="3" t="s">
        <v>713</v>
      </c>
      <c r="B355" s="3"/>
      <c r="C355" s="3" t="s">
        <v>973</v>
      </c>
    </row>
    <row r="356" customFormat="false" ht="15.75" hidden="false" customHeight="false" outlineLevel="0" collapsed="false">
      <c r="A356" s="3" t="s">
        <v>713</v>
      </c>
      <c r="B356" s="3"/>
      <c r="C356" s="3" t="s">
        <v>975</v>
      </c>
    </row>
    <row r="357" customFormat="false" ht="15.75" hidden="false" customHeight="false" outlineLevel="0" collapsed="false">
      <c r="A357" s="3" t="s">
        <v>713</v>
      </c>
      <c r="B357" s="3"/>
      <c r="C357" s="3" t="s">
        <v>1009</v>
      </c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3" t="s">
        <v>313</v>
      </c>
      <c r="B362" s="3" t="s">
        <v>842</v>
      </c>
      <c r="C362" s="3" t="s">
        <v>941</v>
      </c>
    </row>
    <row r="363" customFormat="false" ht="15.75" hidden="false" customHeight="false" outlineLevel="0" collapsed="false">
      <c r="A363" s="3" t="s">
        <v>313</v>
      </c>
      <c r="B363" s="3" t="s">
        <v>941</v>
      </c>
      <c r="C363" s="3" t="s">
        <v>941</v>
      </c>
    </row>
    <row r="364" customFormat="false" ht="15.75" hidden="false" customHeight="false" outlineLevel="0" collapsed="false">
      <c r="A364" s="3" t="s">
        <v>1155</v>
      </c>
      <c r="B364" s="3" t="s">
        <v>867</v>
      </c>
      <c r="C364" s="3" t="s">
        <v>867</v>
      </c>
    </row>
    <row r="365" customFormat="false" ht="15.75" hidden="false" customHeight="false" outlineLevel="0" collapsed="false">
      <c r="A365" s="3" t="s">
        <v>305</v>
      </c>
      <c r="B365" s="3" t="s">
        <v>848</v>
      </c>
      <c r="C365" s="3"/>
    </row>
    <row r="366" customFormat="false" ht="15.75" hidden="false" customHeight="false" outlineLevel="0" collapsed="false">
      <c r="A366" s="3" t="s">
        <v>305</v>
      </c>
      <c r="B366" s="3"/>
      <c r="C366" s="3" t="s">
        <v>874</v>
      </c>
    </row>
    <row r="367" customFormat="false" ht="15.75" hidden="false" customHeight="false" outlineLevel="0" collapsed="false">
      <c r="A367" s="3" t="s">
        <v>305</v>
      </c>
      <c r="B367" s="3"/>
      <c r="C367" s="3" t="s">
        <v>1037</v>
      </c>
    </row>
    <row r="368" customFormat="false" ht="15.75" hidden="false" customHeight="false" outlineLevel="0" collapsed="false">
      <c r="A368" s="3" t="s">
        <v>306</v>
      </c>
      <c r="B368" s="3"/>
      <c r="C368" s="3" t="s">
        <v>985</v>
      </c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3" t="s">
        <v>710</v>
      </c>
      <c r="B372" s="3" t="s">
        <v>951</v>
      </c>
      <c r="C372" s="3" t="s">
        <v>1080</v>
      </c>
    </row>
    <row r="373" customFormat="false" ht="15.75" hidden="false" customHeight="false" outlineLevel="0" collapsed="false">
      <c r="A373" s="3" t="s">
        <v>710</v>
      </c>
      <c r="B373" s="3" t="s">
        <v>951</v>
      </c>
      <c r="C373" s="3" t="s">
        <v>1081</v>
      </c>
    </row>
    <row r="374" customFormat="false" ht="15.75" hidden="false" customHeight="false" outlineLevel="0" collapsed="false">
      <c r="A374" s="3" t="s">
        <v>710</v>
      </c>
      <c r="B374" s="3" t="s">
        <v>948</v>
      </c>
      <c r="C374" s="3" t="s">
        <v>948</v>
      </c>
    </row>
    <row r="375" customFormat="false" ht="15.75" hidden="false" customHeight="false" outlineLevel="0" collapsed="false">
      <c r="A375" s="3" t="s">
        <v>710</v>
      </c>
      <c r="B375" s="3" t="s">
        <v>1156</v>
      </c>
      <c r="C375" s="3" t="s">
        <v>1156</v>
      </c>
    </row>
    <row r="376" customFormat="false" ht="15.75" hidden="false" customHeight="false" outlineLevel="0" collapsed="false">
      <c r="A376" s="3" t="s">
        <v>710</v>
      </c>
      <c r="B376" s="3" t="s">
        <v>951</v>
      </c>
      <c r="C376" s="3" t="s">
        <v>951</v>
      </c>
    </row>
    <row r="377" customFormat="false" ht="15.75" hidden="false" customHeight="false" outlineLevel="0" collapsed="false">
      <c r="A377" s="3" t="s">
        <v>710</v>
      </c>
      <c r="B377" s="3" t="s">
        <v>955</v>
      </c>
      <c r="C377" s="3" t="s">
        <v>955</v>
      </c>
    </row>
    <row r="378" customFormat="false" ht="15.75" hidden="false" customHeight="false" outlineLevel="0" collapsed="false">
      <c r="A378" s="3" t="s">
        <v>710</v>
      </c>
      <c r="B378" s="3" t="s">
        <v>958</v>
      </c>
      <c r="C378" s="3" t="s">
        <v>958</v>
      </c>
    </row>
    <row r="379" customFormat="false" ht="15.75" hidden="false" customHeight="false" outlineLevel="0" collapsed="false">
      <c r="A379" s="3" t="s">
        <v>710</v>
      </c>
      <c r="B379" s="3" t="s">
        <v>960</v>
      </c>
      <c r="C379" s="3" t="s">
        <v>960</v>
      </c>
    </row>
    <row r="380" customFormat="false" ht="15.75" hidden="false" customHeight="false" outlineLevel="0" collapsed="false">
      <c r="A380" s="3" t="s">
        <v>710</v>
      </c>
      <c r="B380" s="3" t="s">
        <v>953</v>
      </c>
      <c r="C380" s="3"/>
    </row>
    <row r="381" customFormat="false" ht="15.75" hidden="false" customHeight="false" outlineLevel="0" collapsed="false">
      <c r="A381" s="3" t="s">
        <v>710</v>
      </c>
      <c r="B381" s="3" t="s">
        <v>956</v>
      </c>
      <c r="C381" s="3"/>
    </row>
    <row r="382" customFormat="false" ht="15.75" hidden="false" customHeight="false" outlineLevel="0" collapsed="false">
      <c r="A382" s="3" t="s">
        <v>710</v>
      </c>
      <c r="B382" s="3" t="s">
        <v>1157</v>
      </c>
      <c r="C382" s="3" t="s">
        <v>1064</v>
      </c>
    </row>
    <row r="383" customFormat="false" ht="15.75" hidden="false" customHeight="false" outlineLevel="0" collapsed="false">
      <c r="A383" s="3" t="s">
        <v>710</v>
      </c>
      <c r="B383" s="3"/>
      <c r="C383" s="3" t="s">
        <v>1065</v>
      </c>
    </row>
    <row r="384" customFormat="false" ht="15.75" hidden="false" customHeight="false" outlineLevel="0" collapsed="false">
      <c r="A384" s="3" t="s">
        <v>710</v>
      </c>
      <c r="B384" s="3" t="s">
        <v>1066</v>
      </c>
      <c r="C384" s="3" t="s">
        <v>1066</v>
      </c>
    </row>
    <row r="385" customFormat="false" ht="15.75" hidden="false" customHeight="false" outlineLevel="0" collapsed="false">
      <c r="A385" s="3" t="s">
        <v>710</v>
      </c>
      <c r="B385" s="15"/>
      <c r="C385" s="15" t="s">
        <v>1067</v>
      </c>
    </row>
    <row r="386" customFormat="false" ht="15.75" hidden="false" customHeight="false" outlineLevel="0" collapsed="false">
      <c r="A386" s="3" t="s">
        <v>710</v>
      </c>
      <c r="B386" s="15"/>
      <c r="C386" s="15" t="s">
        <v>1068</v>
      </c>
    </row>
    <row r="387" customFormat="false" ht="15.75" hidden="false" customHeight="false" outlineLevel="0" collapsed="false">
      <c r="A387" s="3" t="s">
        <v>710</v>
      </c>
      <c r="B387" s="15" t="s">
        <v>1069</v>
      </c>
      <c r="C387" s="15" t="s">
        <v>1069</v>
      </c>
    </row>
    <row r="388" customFormat="false" ht="15.75" hidden="false" customHeight="false" outlineLevel="0" collapsed="false">
      <c r="A388" s="3" t="s">
        <v>710</v>
      </c>
      <c r="B388" s="15"/>
      <c r="C388" s="3" t="s">
        <v>1070</v>
      </c>
    </row>
    <row r="389" customFormat="false" ht="15.75" hidden="false" customHeight="false" outlineLevel="0" collapsed="false">
      <c r="A389" s="3" t="s">
        <v>710</v>
      </c>
      <c r="B389" s="15"/>
      <c r="C389" s="3" t="s">
        <v>1071</v>
      </c>
    </row>
    <row r="390" customFormat="false" ht="15.75" hidden="false" customHeight="false" outlineLevel="0" collapsed="false">
      <c r="A390" s="15"/>
      <c r="B390" s="15"/>
      <c r="C390" s="15"/>
    </row>
    <row r="391" customFormat="false" ht="15.75" hidden="false" customHeight="false" outlineLevel="0" collapsed="false">
      <c r="A391" s="15"/>
      <c r="B391" s="15"/>
      <c r="C391" s="15"/>
    </row>
    <row r="392" customFormat="false" ht="15.75" hidden="false" customHeight="false" outlineLevel="0" collapsed="false">
      <c r="A392" s="15"/>
      <c r="B392" s="15"/>
      <c r="C392" s="15"/>
    </row>
    <row r="393" customFormat="false" ht="15.75" hidden="false" customHeight="false" outlineLevel="0" collapsed="false">
      <c r="A393" s="15"/>
      <c r="B393" s="15"/>
      <c r="C393" s="15"/>
    </row>
    <row r="394" customFormat="false" ht="15.75" hidden="false" customHeight="false" outlineLevel="0" collapsed="false">
      <c r="A394" s="15"/>
      <c r="B394" s="15"/>
      <c r="C394" s="15"/>
    </row>
    <row r="395" customFormat="false" ht="15.75" hidden="false" customHeight="false" outlineLevel="0" collapsed="false">
      <c r="A395" s="15"/>
      <c r="B395" s="15"/>
      <c r="C395" s="15"/>
    </row>
    <row r="396" customFormat="false" ht="15.75" hidden="false" customHeight="false" outlineLevel="0" collapsed="false">
      <c r="A396" s="15"/>
      <c r="B396" s="15"/>
      <c r="C396" s="15"/>
    </row>
    <row r="397" customFormat="false" ht="15.75" hidden="false" customHeight="false" outlineLevel="0" collapsed="false">
      <c r="A397" s="15"/>
      <c r="B397" s="15"/>
      <c r="C397" s="15"/>
    </row>
    <row r="398" customFormat="false" ht="15.75" hidden="false" customHeight="false" outlineLevel="0" collapsed="false">
      <c r="A398" s="15"/>
      <c r="B398" s="15"/>
      <c r="C398" s="15"/>
    </row>
    <row r="399" customFormat="false" ht="15.75" hidden="false" customHeight="false" outlineLevel="0" collapsed="false">
      <c r="A399" s="15"/>
      <c r="B399" s="15"/>
      <c r="C399" s="15"/>
    </row>
    <row r="400" customFormat="false" ht="15.75" hidden="false" customHeight="false" outlineLevel="0" collapsed="false">
      <c r="A400" s="15"/>
      <c r="B400" s="15"/>
      <c r="C400" s="15"/>
    </row>
    <row r="401" customFormat="false" ht="15.75" hidden="false" customHeight="false" outlineLevel="0" collapsed="false">
      <c r="A401" s="15"/>
      <c r="B401" s="15"/>
      <c r="C401" s="15"/>
    </row>
    <row r="402" customFormat="false" ht="15.75" hidden="false" customHeight="false" outlineLevel="0" collapsed="false">
      <c r="A402" s="15"/>
      <c r="B402" s="15"/>
      <c r="C402" s="15"/>
    </row>
    <row r="403" customFormat="false" ht="15.75" hidden="false" customHeight="false" outlineLevel="0" collapsed="false">
      <c r="A403" s="15"/>
      <c r="B403" s="15"/>
      <c r="C403" s="15"/>
    </row>
    <row r="404" customFormat="false" ht="15.75" hidden="false" customHeight="false" outlineLevel="0" collapsed="false">
      <c r="A404" s="15"/>
      <c r="B404" s="15"/>
      <c r="C404" s="15"/>
    </row>
    <row r="405" customFormat="false" ht="15.75" hidden="false" customHeight="false" outlineLevel="0" collapsed="false">
      <c r="A405" s="15"/>
      <c r="B405" s="15"/>
      <c r="C405" s="15"/>
    </row>
    <row r="406" customFormat="false" ht="15.75" hidden="false" customHeight="false" outlineLevel="0" collapsed="false">
      <c r="A406" s="15"/>
      <c r="B406" s="15"/>
      <c r="C406" s="15"/>
    </row>
    <row r="407" customFormat="false" ht="15.75" hidden="false" customHeight="false" outlineLevel="0" collapsed="false">
      <c r="A407" s="15"/>
      <c r="B407" s="15"/>
      <c r="C407" s="15"/>
    </row>
    <row r="408" customFormat="false" ht="15.75" hidden="false" customHeight="false" outlineLevel="0" collapsed="false">
      <c r="A408" s="15"/>
      <c r="B408" s="15"/>
      <c r="C408" s="15"/>
    </row>
    <row r="409" customFormat="false" ht="15.75" hidden="false" customHeight="false" outlineLevel="0" collapsed="false">
      <c r="A409" s="15"/>
      <c r="B409" s="15"/>
      <c r="C409" s="15"/>
    </row>
    <row r="410" customFormat="false" ht="15.75" hidden="false" customHeight="false" outlineLevel="0" collapsed="false">
      <c r="A410" s="15"/>
      <c r="B410" s="15"/>
      <c r="C410" s="15"/>
    </row>
    <row r="411" customFormat="false" ht="15.75" hidden="false" customHeight="false" outlineLevel="0" collapsed="false">
      <c r="A411" s="15"/>
      <c r="B411" s="15"/>
      <c r="C411" s="15"/>
    </row>
    <row r="412" customFormat="false" ht="15.75" hidden="false" customHeight="false" outlineLevel="0" collapsed="false">
      <c r="A412" s="15"/>
      <c r="B412" s="15"/>
      <c r="C412" s="15"/>
    </row>
    <row r="413" customFormat="false" ht="15.75" hidden="false" customHeight="false" outlineLevel="0" collapsed="false">
      <c r="A413" s="15"/>
      <c r="B413" s="15"/>
      <c r="C413" s="15"/>
    </row>
    <row r="414" customFormat="false" ht="15.75" hidden="false" customHeight="false" outlineLevel="0" collapsed="false">
      <c r="A414" s="15"/>
      <c r="B414" s="15"/>
      <c r="C414" s="15"/>
    </row>
    <row r="415" customFormat="false" ht="15.75" hidden="false" customHeight="false" outlineLevel="0" collapsed="false">
      <c r="A415" s="15"/>
      <c r="B415" s="15"/>
      <c r="C415" s="15"/>
    </row>
    <row r="416" customFormat="false" ht="15.75" hidden="false" customHeight="false" outlineLevel="0" collapsed="false">
      <c r="A416" s="15"/>
      <c r="B416" s="15"/>
      <c r="C416" s="15"/>
    </row>
    <row r="417" customFormat="false" ht="15.75" hidden="false" customHeight="false" outlineLevel="0" collapsed="false">
      <c r="A417" s="15"/>
      <c r="B417" s="15"/>
      <c r="C417" s="15"/>
    </row>
    <row r="418" customFormat="false" ht="15.75" hidden="false" customHeight="false" outlineLevel="0" collapsed="false">
      <c r="A418" s="15"/>
      <c r="B418" s="15"/>
      <c r="C418" s="15"/>
    </row>
    <row r="419" customFormat="false" ht="15.75" hidden="false" customHeight="false" outlineLevel="0" collapsed="false">
      <c r="A419" s="15"/>
      <c r="B419" s="15"/>
      <c r="C419" s="15"/>
    </row>
    <row r="420" customFormat="false" ht="15.75" hidden="false" customHeight="false" outlineLevel="0" collapsed="false">
      <c r="A420" s="15"/>
      <c r="B420" s="15"/>
      <c r="C420" s="15"/>
    </row>
    <row r="421" customFormat="false" ht="15.75" hidden="false" customHeight="false" outlineLevel="0" collapsed="false">
      <c r="A421" s="15"/>
      <c r="B421" s="15"/>
      <c r="C421" s="15"/>
    </row>
    <row r="422" customFormat="false" ht="15.75" hidden="false" customHeight="false" outlineLevel="0" collapsed="false">
      <c r="A422" s="15"/>
      <c r="B422" s="15"/>
      <c r="C422" s="15"/>
    </row>
    <row r="423" customFormat="false" ht="15.75" hidden="false" customHeight="false" outlineLevel="0" collapsed="false">
      <c r="A423" s="15"/>
      <c r="B423" s="15"/>
      <c r="C423" s="15"/>
    </row>
    <row r="424" customFormat="false" ht="15.75" hidden="false" customHeight="false" outlineLevel="0" collapsed="false">
      <c r="A424" s="15"/>
      <c r="B424" s="15"/>
      <c r="C424" s="15"/>
    </row>
    <row r="425" customFormat="false" ht="15.75" hidden="false" customHeight="false" outlineLevel="0" collapsed="false">
      <c r="A425" s="15"/>
      <c r="B425" s="15"/>
      <c r="C425" s="15"/>
    </row>
    <row r="426" customFormat="false" ht="15.75" hidden="false" customHeight="false" outlineLevel="0" collapsed="false">
      <c r="A426" s="15"/>
      <c r="B426" s="15"/>
      <c r="C426" s="15"/>
    </row>
    <row r="427" customFormat="false" ht="15.75" hidden="false" customHeight="false" outlineLevel="0" collapsed="false">
      <c r="A427" s="15"/>
      <c r="B427" s="15"/>
      <c r="C427" s="15"/>
    </row>
    <row r="428" customFormat="false" ht="15.75" hidden="false" customHeight="false" outlineLevel="0" collapsed="false">
      <c r="A428" s="15"/>
      <c r="B428" s="15"/>
      <c r="C428" s="15"/>
    </row>
    <row r="429" customFormat="false" ht="15.75" hidden="false" customHeight="false" outlineLevel="0" collapsed="false">
      <c r="A429" s="15"/>
      <c r="B429" s="15"/>
      <c r="C429" s="15"/>
    </row>
    <row r="430" customFormat="false" ht="15.75" hidden="false" customHeight="false" outlineLevel="0" collapsed="false">
      <c r="A430" s="15"/>
      <c r="B430" s="15"/>
      <c r="C430" s="15"/>
    </row>
    <row r="431" customFormat="false" ht="15.75" hidden="false" customHeight="false" outlineLevel="0" collapsed="false">
      <c r="A431" s="15"/>
      <c r="B431" s="15"/>
      <c r="C431" s="15"/>
    </row>
    <row r="432" customFormat="false" ht="15.75" hidden="false" customHeight="false" outlineLevel="0" collapsed="false">
      <c r="A432" s="15"/>
      <c r="B432" s="15"/>
      <c r="C432" s="15"/>
    </row>
    <row r="433" customFormat="false" ht="15.75" hidden="false" customHeight="false" outlineLevel="0" collapsed="false">
      <c r="A433" s="15"/>
      <c r="B433" s="15"/>
      <c r="C433" s="15"/>
    </row>
    <row r="434" customFormat="false" ht="15.75" hidden="false" customHeight="false" outlineLevel="0" collapsed="false">
      <c r="A434" s="15"/>
      <c r="B434" s="15"/>
      <c r="C434" s="15"/>
    </row>
    <row r="435" customFormat="false" ht="15.75" hidden="false" customHeight="false" outlineLevel="0" collapsed="false">
      <c r="A435" s="15"/>
      <c r="B435" s="15"/>
      <c r="C435" s="15"/>
    </row>
    <row r="436" customFormat="false" ht="15.75" hidden="false" customHeight="false" outlineLevel="0" collapsed="false">
      <c r="A436" s="15"/>
      <c r="B436" s="15"/>
      <c r="C436" s="15"/>
    </row>
    <row r="437" customFormat="false" ht="15.75" hidden="false" customHeight="false" outlineLevel="0" collapsed="false">
      <c r="A437" s="15"/>
      <c r="B437" s="15"/>
      <c r="C437" s="15"/>
    </row>
    <row r="438" customFormat="false" ht="15.75" hidden="false" customHeight="false" outlineLevel="0" collapsed="false">
      <c r="A438" s="15"/>
      <c r="B438" s="15"/>
      <c r="C438" s="15"/>
    </row>
    <row r="439" customFormat="false" ht="15.75" hidden="false" customHeight="false" outlineLevel="0" collapsed="false">
      <c r="A439" s="15"/>
      <c r="B439" s="15"/>
      <c r="C439" s="15"/>
    </row>
    <row r="440" customFormat="false" ht="15.75" hidden="false" customHeight="false" outlineLevel="0" collapsed="false">
      <c r="A440" s="15"/>
      <c r="B440" s="15"/>
      <c r="C440" s="15"/>
    </row>
    <row r="441" customFormat="false" ht="15.75" hidden="false" customHeight="false" outlineLevel="0" collapsed="false">
      <c r="A441" s="15"/>
      <c r="B441" s="15"/>
      <c r="C441" s="15"/>
    </row>
    <row r="442" customFormat="false" ht="15.75" hidden="false" customHeight="false" outlineLevel="0" collapsed="false">
      <c r="A442" s="15"/>
      <c r="B442" s="15"/>
      <c r="C442" s="15"/>
    </row>
    <row r="443" customFormat="false" ht="15.75" hidden="false" customHeight="false" outlineLevel="0" collapsed="false">
      <c r="A443" s="15"/>
      <c r="B443" s="15"/>
      <c r="C443" s="15"/>
    </row>
    <row r="444" customFormat="false" ht="15.75" hidden="false" customHeight="false" outlineLevel="0" collapsed="false">
      <c r="A444" s="15"/>
      <c r="B444" s="15"/>
      <c r="C444" s="15"/>
    </row>
    <row r="445" customFormat="false" ht="15.75" hidden="false" customHeight="false" outlineLevel="0" collapsed="false">
      <c r="A445" s="15"/>
      <c r="B445" s="15"/>
      <c r="C445" s="15"/>
    </row>
    <row r="446" customFormat="false" ht="15.75" hidden="false" customHeight="false" outlineLevel="0" collapsed="false">
      <c r="A446" s="15"/>
      <c r="B446" s="15"/>
      <c r="C446" s="15"/>
    </row>
    <row r="447" customFormat="false" ht="15.75" hidden="false" customHeight="false" outlineLevel="0" collapsed="false">
      <c r="A447" s="15"/>
      <c r="B447" s="15"/>
      <c r="C447" s="15"/>
    </row>
    <row r="448" customFormat="false" ht="15.75" hidden="false" customHeight="false" outlineLevel="0" collapsed="false">
      <c r="A448" s="15"/>
      <c r="B448" s="15"/>
      <c r="C448" s="15"/>
    </row>
    <row r="449" customFormat="false" ht="15.75" hidden="false" customHeight="false" outlineLevel="0" collapsed="false">
      <c r="A449" s="15"/>
      <c r="B449" s="15"/>
      <c r="C449" s="15"/>
    </row>
    <row r="450" customFormat="false" ht="15.75" hidden="false" customHeight="false" outlineLevel="0" collapsed="false">
      <c r="A450" s="15"/>
      <c r="B450" s="15"/>
      <c r="C450" s="15"/>
    </row>
    <row r="451" customFormat="false" ht="15.75" hidden="false" customHeight="false" outlineLevel="0" collapsed="false">
      <c r="A451" s="15"/>
      <c r="B451" s="15"/>
      <c r="C451" s="15"/>
    </row>
    <row r="452" customFormat="false" ht="15.75" hidden="false" customHeight="false" outlineLevel="0" collapsed="false">
      <c r="A452" s="15"/>
      <c r="B452" s="15"/>
      <c r="C452" s="15"/>
    </row>
    <row r="453" customFormat="false" ht="15.75" hidden="false" customHeight="false" outlineLevel="0" collapsed="false">
      <c r="A453" s="15"/>
      <c r="B453" s="15"/>
      <c r="C453" s="15"/>
    </row>
    <row r="454" customFormat="false" ht="15.75" hidden="false" customHeight="false" outlineLevel="0" collapsed="false">
      <c r="A454" s="15"/>
      <c r="B454" s="15"/>
      <c r="C454" s="15"/>
    </row>
    <row r="455" customFormat="false" ht="15.75" hidden="false" customHeight="false" outlineLevel="0" collapsed="false">
      <c r="A455" s="15"/>
      <c r="B455" s="15"/>
      <c r="C455" s="15"/>
    </row>
    <row r="456" customFormat="false" ht="15.75" hidden="false" customHeight="false" outlineLevel="0" collapsed="false">
      <c r="A456" s="15"/>
      <c r="B456" s="15"/>
      <c r="C456" s="15"/>
    </row>
    <row r="457" customFormat="false" ht="15.75" hidden="false" customHeight="false" outlineLevel="0" collapsed="false">
      <c r="A457" s="15"/>
      <c r="B457" s="15"/>
      <c r="C457" s="15"/>
    </row>
    <row r="458" customFormat="false" ht="15.75" hidden="false" customHeight="false" outlineLevel="0" collapsed="false">
      <c r="A458" s="15"/>
      <c r="B458" s="15"/>
      <c r="C458" s="15"/>
    </row>
    <row r="459" customFormat="false" ht="15.75" hidden="false" customHeight="false" outlineLevel="0" collapsed="false">
      <c r="A459" s="15"/>
      <c r="B459" s="15"/>
      <c r="C459" s="15"/>
    </row>
    <row r="460" customFormat="false" ht="15.75" hidden="false" customHeight="false" outlineLevel="0" collapsed="false">
      <c r="A460" s="15"/>
      <c r="B460" s="15"/>
      <c r="C460" s="15"/>
    </row>
    <row r="461" customFormat="false" ht="15.75" hidden="false" customHeight="false" outlineLevel="0" collapsed="false">
      <c r="A461" s="15"/>
      <c r="B461" s="15"/>
      <c r="C461" s="15"/>
    </row>
    <row r="462" customFormat="false" ht="15.75" hidden="false" customHeight="false" outlineLevel="0" collapsed="false">
      <c r="A462" s="15"/>
      <c r="B462" s="15"/>
      <c r="C462" s="15"/>
    </row>
    <row r="463" customFormat="false" ht="15.75" hidden="false" customHeight="false" outlineLevel="0" collapsed="false">
      <c r="A463" s="15"/>
      <c r="B463" s="15"/>
      <c r="C463" s="15"/>
    </row>
    <row r="464" customFormat="false" ht="15.75" hidden="false" customHeight="false" outlineLevel="0" collapsed="false">
      <c r="A464" s="15"/>
      <c r="B464" s="15"/>
      <c r="C464" s="15"/>
    </row>
    <row r="465" customFormat="false" ht="15.75" hidden="false" customHeight="false" outlineLevel="0" collapsed="false">
      <c r="A465" s="4"/>
    </row>
    <row r="466" customFormat="false" ht="15.75" hidden="false" customHeight="false" outlineLevel="0" collapsed="false">
      <c r="A466" s="4"/>
    </row>
    <row r="467" customFormat="false" ht="15.75" hidden="false" customHeight="false" outlineLevel="0" collapsed="false">
      <c r="A467" s="4"/>
    </row>
    <row r="468" customFormat="false" ht="15.75" hidden="false" customHeight="false" outlineLevel="0" collapsed="false">
      <c r="A468" s="4"/>
    </row>
    <row r="471" customFormat="false" ht="15.75" hidden="false" customHeight="false" outlineLevel="0" collapsed="false">
      <c r="A471" s="4"/>
    </row>
    <row r="472" customFormat="false" ht="15.75" hidden="false" customHeight="false" outlineLevel="0" collapsed="false">
      <c r="A472" s="4"/>
    </row>
    <row r="473" customFormat="false" ht="15.75" hidden="false" customHeight="false" outlineLevel="0" collapsed="false">
      <c r="A473" s="4"/>
    </row>
    <row r="474" customFormat="false" ht="15.75" hidden="false" customHeight="false" outlineLevel="0" collapsed="false">
      <c r="A474" s="4"/>
    </row>
    <row r="475" customFormat="false" ht="15.75" hidden="false" customHeight="false" outlineLevel="0" collapsed="false">
      <c r="A475" s="4"/>
    </row>
    <row r="476" customFormat="false" ht="15.75" hidden="false" customHeight="false" outlineLevel="0" collapsed="false">
      <c r="A476" s="4"/>
      <c r="B476" s="3"/>
    </row>
    <row r="477" customFormat="false" ht="15.75" hidden="false" customHeight="false" outlineLevel="0" collapsed="false">
      <c r="A477" s="4"/>
    </row>
    <row r="478" customFormat="false" ht="15.75" hidden="false" customHeight="false" outlineLevel="0" collapsed="false">
      <c r="A478" s="4"/>
    </row>
    <row r="479" customFormat="false" ht="15.75" hidden="false" customHeight="false" outlineLevel="0" collapsed="false">
      <c r="A479" s="4"/>
      <c r="B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</row>
    <row r="489" customFormat="false" ht="15.75" hidden="false" customHeight="false" outlineLevel="0" collapsed="false">
      <c r="A489" s="3"/>
      <c r="B489" s="3"/>
    </row>
    <row r="490" customFormat="false" ht="15.75" hidden="false" customHeight="false" outlineLevel="0" collapsed="false">
      <c r="A490" s="3"/>
      <c r="B490" s="3"/>
    </row>
    <row r="491" customFormat="false" ht="15.75" hidden="false" customHeight="false" outlineLevel="0" collapsed="false">
      <c r="A491" s="4"/>
    </row>
    <row r="492" customFormat="false" ht="15.75" hidden="false" customHeight="false" outlineLevel="0" collapsed="false">
      <c r="A492" s="4"/>
      <c r="B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</row>
    <row r="496" customFormat="false" ht="15.75" hidden="false" customHeight="false" outlineLevel="0" collapsed="false">
      <c r="A496" s="4"/>
      <c r="B496" s="3"/>
    </row>
    <row r="497" customFormat="false" ht="15.75" hidden="false" customHeight="false" outlineLevel="0" collapsed="false">
      <c r="A497" s="4"/>
    </row>
    <row r="498" customFormat="false" ht="15.75" hidden="false" customHeight="false" outlineLevel="0" collapsed="false">
      <c r="A498" s="4"/>
    </row>
    <row r="499" customFormat="false" ht="15.75" hidden="false" customHeight="false" outlineLevel="0" collapsed="false">
      <c r="A499" s="4"/>
      <c r="C499" s="3"/>
    </row>
    <row r="500" customFormat="false" ht="15.75" hidden="false" customHeight="false" outlineLevel="0" collapsed="false">
      <c r="A500" s="4"/>
      <c r="B500" s="3"/>
    </row>
    <row r="501" customFormat="false" ht="15.75" hidden="false" customHeight="false" outlineLevel="0" collapsed="false">
      <c r="A501" s="3"/>
      <c r="C501" s="3"/>
    </row>
    <row r="502" customFormat="false" ht="15.75" hidden="false" customHeight="false" outlineLevel="0" collapsed="false">
      <c r="A502" s="3"/>
      <c r="B502" s="3"/>
      <c r="C502" s="3"/>
    </row>
    <row r="503" customFormat="false" ht="15.75" hidden="false" customHeight="false" outlineLevel="0" collapsed="false">
      <c r="A503" s="3"/>
      <c r="B503" s="3"/>
      <c r="C503" s="3"/>
    </row>
    <row r="504" customFormat="false" ht="15.75" hidden="false" customHeight="false" outlineLevel="0" collapsed="false">
      <c r="A504" s="3"/>
      <c r="B504" s="3"/>
      <c r="C504" s="3"/>
    </row>
    <row r="505" customFormat="false" ht="15.75" hidden="false" customHeight="false" outlineLevel="0" collapsed="false">
      <c r="A505" s="3"/>
      <c r="B505" s="3"/>
      <c r="C505" s="3"/>
    </row>
    <row r="506" customFormat="false" ht="15.75" hidden="false" customHeight="false" outlineLevel="0" collapsed="false">
      <c r="A506" s="3"/>
      <c r="B506" s="3"/>
      <c r="C506" s="3"/>
    </row>
    <row r="507" customFormat="false" ht="15.75" hidden="false" customHeight="false" outlineLevel="0" collapsed="false">
      <c r="A507" s="3"/>
      <c r="B507" s="3"/>
      <c r="C507" s="3"/>
    </row>
    <row r="508" customFormat="false" ht="15.75" hidden="false" customHeight="false" outlineLevel="0" collapsed="false">
      <c r="A508" s="3"/>
      <c r="B508" s="3"/>
      <c r="C508" s="3"/>
    </row>
    <row r="509" customFormat="false" ht="15.75" hidden="false" customHeight="false" outlineLevel="0" collapsed="false">
      <c r="A509" s="3"/>
      <c r="B509" s="3"/>
      <c r="C509" s="3"/>
    </row>
    <row r="510" customFormat="false" ht="15.75" hidden="false" customHeight="false" outlineLevel="0" collapsed="false">
      <c r="A510" s="3"/>
      <c r="B510" s="3"/>
      <c r="C510" s="3"/>
    </row>
    <row r="511" customFormat="false" ht="15.75" hidden="false" customHeight="false" outlineLevel="0" collapsed="false">
      <c r="A511" s="3"/>
      <c r="B511" s="3"/>
      <c r="C511" s="3"/>
    </row>
    <row r="512" customFormat="false" ht="15.75" hidden="false" customHeight="false" outlineLevel="0" collapsed="false">
      <c r="A512" s="3"/>
      <c r="B512" s="3"/>
      <c r="C512" s="3"/>
    </row>
    <row r="513" customFormat="false" ht="15.75" hidden="false" customHeight="false" outlineLevel="0" collapsed="false">
      <c r="A513" s="3"/>
      <c r="B513" s="3"/>
      <c r="C513" s="3"/>
    </row>
    <row r="514" customFormat="false" ht="15.75" hidden="false" customHeight="false" outlineLevel="0" collapsed="false">
      <c r="A514" s="4"/>
    </row>
    <row r="515" customFormat="false" ht="15.75" hidden="false" customHeight="false" outlineLevel="0" collapsed="false">
      <c r="A515" s="4"/>
    </row>
    <row r="516" customFormat="false" ht="15.75" hidden="false" customHeight="false" outlineLevel="0" collapsed="false">
      <c r="A516" s="4"/>
      <c r="B516" s="3"/>
    </row>
    <row r="517" customFormat="false" ht="15.75" hidden="false" customHeight="false" outlineLevel="0" collapsed="false">
      <c r="A517" s="4"/>
      <c r="B517" s="3"/>
    </row>
    <row r="518" customFormat="false" ht="15.75" hidden="false" customHeight="false" outlineLevel="0" collapsed="false">
      <c r="A518" s="4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</row>
    <row r="522" customFormat="false" ht="15.75" hidden="false" customHeight="false" outlineLevel="0" collapsed="false">
      <c r="A522" s="4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10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10"/>
      <c r="C561" s="10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</row>
    <row r="587" customFormat="false" ht="15.75" hidden="false" customHeight="false" outlineLevel="0" collapsed="false">
      <c r="A587" s="4"/>
      <c r="B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</row>
    <row r="598" customFormat="false" ht="15.75" hidden="false" customHeight="false" outlineLevel="0" collapsed="false">
      <c r="A598" s="4"/>
      <c r="B598" s="3"/>
    </row>
    <row r="599" customFormat="false" ht="15.75" hidden="false" customHeight="false" outlineLevel="0" collapsed="false">
      <c r="A599" s="4"/>
      <c r="B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A898" s="4"/>
      <c r="B898" s="3"/>
      <c r="C898" s="3"/>
    </row>
    <row r="899" customFormat="false" ht="15.75" hidden="false" customHeight="false" outlineLevel="0" collapsed="false">
      <c r="A899" s="4"/>
      <c r="B899" s="3"/>
      <c r="C899" s="3"/>
    </row>
    <row r="900" customFormat="false" ht="15.75" hidden="false" customHeight="false" outlineLevel="0" collapsed="false">
      <c r="A900" s="4"/>
      <c r="B900" s="3"/>
      <c r="C900" s="3"/>
    </row>
    <row r="901" customFormat="false" ht="15.75" hidden="false" customHeight="false" outlineLevel="0" collapsed="false">
      <c r="A901" s="4"/>
      <c r="B901" s="3"/>
      <c r="C901" s="3"/>
    </row>
    <row r="902" customFormat="false" ht="15.75" hidden="false" customHeight="false" outlineLevel="0" collapsed="false">
      <c r="A902" s="4"/>
      <c r="B902" s="3"/>
      <c r="C902" s="3"/>
    </row>
    <row r="903" customFormat="false" ht="15.75" hidden="false" customHeight="false" outlineLevel="0" collapsed="false">
      <c r="A903" s="4"/>
      <c r="B903" s="3"/>
      <c r="C903" s="3"/>
    </row>
    <row r="904" customFormat="false" ht="15.75" hidden="false" customHeight="false" outlineLevel="0" collapsed="false">
      <c r="A904" s="4"/>
      <c r="B904" s="3"/>
      <c r="C904" s="3"/>
    </row>
    <row r="905" customFormat="false" ht="15.75" hidden="false" customHeight="false" outlineLevel="0" collapsed="false">
      <c r="A905" s="4"/>
      <c r="B905" s="3"/>
      <c r="C905" s="3"/>
    </row>
    <row r="906" customFormat="false" ht="15.75" hidden="false" customHeight="false" outlineLevel="0" collapsed="false">
      <c r="A906" s="4"/>
      <c r="B906" s="3"/>
      <c r="C906" s="3"/>
    </row>
    <row r="907" customFormat="false" ht="15.75" hidden="false" customHeight="false" outlineLevel="0" collapsed="false">
      <c r="A907" s="4"/>
      <c r="B907" s="3"/>
      <c r="C907" s="3"/>
    </row>
    <row r="908" customFormat="false" ht="15.75" hidden="false" customHeight="false" outlineLevel="0" collapsed="false">
      <c r="A908" s="4"/>
      <c r="B908" s="3"/>
      <c r="C908" s="3"/>
    </row>
    <row r="909" customFormat="false" ht="15.75" hidden="false" customHeight="false" outlineLevel="0" collapsed="false">
      <c r="A909" s="4"/>
      <c r="B909" s="3"/>
      <c r="C909" s="3"/>
    </row>
    <row r="910" customFormat="false" ht="15.75" hidden="false" customHeight="false" outlineLevel="0" collapsed="false">
      <c r="A910" s="4"/>
      <c r="B910" s="3"/>
      <c r="C910" s="3"/>
    </row>
    <row r="911" customFormat="false" ht="15.75" hidden="false" customHeight="false" outlineLevel="0" collapsed="false">
      <c r="A911" s="4"/>
      <c r="B911" s="3"/>
      <c r="C911" s="3"/>
    </row>
    <row r="912" customFormat="false" ht="15.75" hidden="false" customHeight="false" outlineLevel="0" collapsed="false">
      <c r="A912" s="4"/>
      <c r="B912" s="3"/>
      <c r="C912" s="3"/>
    </row>
    <row r="913" customFormat="false" ht="15.75" hidden="false" customHeight="false" outlineLevel="0" collapsed="false">
      <c r="A913" s="4"/>
      <c r="B913" s="3"/>
      <c r="C913" s="3"/>
    </row>
    <row r="914" customFormat="false" ht="15.75" hidden="false" customHeight="false" outlineLevel="0" collapsed="false">
      <c r="A914" s="4"/>
      <c r="B914" s="3"/>
      <c r="C914" s="3"/>
    </row>
    <row r="915" customFormat="false" ht="15.75" hidden="false" customHeight="false" outlineLevel="0" collapsed="false">
      <c r="A915" s="4"/>
      <c r="B915" s="3"/>
      <c r="C915" s="3"/>
    </row>
    <row r="916" customFormat="false" ht="15.75" hidden="false" customHeight="false" outlineLevel="0" collapsed="false">
      <c r="A916" s="4"/>
      <c r="B916" s="3"/>
      <c r="C916" s="3"/>
    </row>
    <row r="917" customFormat="false" ht="15.75" hidden="false" customHeight="false" outlineLevel="0" collapsed="false">
      <c r="A917" s="4"/>
      <c r="B917" s="3"/>
      <c r="C917" s="3"/>
    </row>
    <row r="918" customFormat="false" ht="15.75" hidden="false" customHeight="false" outlineLevel="0" collapsed="false">
      <c r="A918" s="4"/>
      <c r="B918" s="3"/>
      <c r="C918" s="3"/>
    </row>
    <row r="919" customFormat="false" ht="15.75" hidden="false" customHeight="false" outlineLevel="0" collapsed="false">
      <c r="A919" s="4"/>
      <c r="B919" s="3"/>
      <c r="C919" s="3"/>
    </row>
    <row r="920" customFormat="false" ht="15.75" hidden="false" customHeight="false" outlineLevel="0" collapsed="false">
      <c r="A920" s="4"/>
      <c r="B920" s="3"/>
      <c r="C920" s="3"/>
    </row>
    <row r="921" customFormat="false" ht="15.75" hidden="false" customHeight="false" outlineLevel="0" collapsed="false">
      <c r="A921" s="4"/>
      <c r="B921" s="3"/>
      <c r="C921" s="3"/>
    </row>
    <row r="922" customFormat="false" ht="15.75" hidden="false" customHeight="false" outlineLevel="0" collapsed="false">
      <c r="A922" s="4"/>
      <c r="B922" s="3"/>
      <c r="C922" s="3"/>
    </row>
    <row r="923" customFormat="false" ht="15.75" hidden="false" customHeight="false" outlineLevel="0" collapsed="false">
      <c r="A923" s="4"/>
      <c r="B923" s="3"/>
      <c r="C923" s="3"/>
    </row>
    <row r="924" customFormat="false" ht="15.75" hidden="false" customHeight="false" outlineLevel="0" collapsed="false">
      <c r="A924" s="4"/>
      <c r="B924" s="3"/>
      <c r="C924" s="3"/>
    </row>
    <row r="925" customFormat="false" ht="15.75" hidden="false" customHeight="false" outlineLevel="0" collapsed="false">
      <c r="A925" s="4"/>
      <c r="B925" s="3"/>
      <c r="C925" s="3"/>
    </row>
    <row r="926" customFormat="false" ht="15.75" hidden="false" customHeight="false" outlineLevel="0" collapsed="false">
      <c r="A926" s="4"/>
      <c r="B926" s="3"/>
      <c r="C926" s="3"/>
    </row>
    <row r="927" customFormat="false" ht="15.75" hidden="false" customHeight="false" outlineLevel="0" collapsed="false">
      <c r="A927" s="4"/>
      <c r="B927" s="3"/>
      <c r="C927" s="3"/>
    </row>
    <row r="928" customFormat="false" ht="15.75" hidden="false" customHeight="false" outlineLevel="0" collapsed="false">
      <c r="A928" s="4"/>
      <c r="B928" s="3"/>
      <c r="C928" s="3"/>
    </row>
    <row r="929" customFormat="false" ht="15.75" hidden="false" customHeight="false" outlineLevel="0" collapsed="false">
      <c r="A929" s="4"/>
      <c r="B929" s="3"/>
      <c r="C929" s="3"/>
    </row>
    <row r="930" customFormat="false" ht="15.75" hidden="false" customHeight="false" outlineLevel="0" collapsed="false">
      <c r="A930" s="4"/>
      <c r="B930" s="3"/>
      <c r="C930" s="3"/>
    </row>
    <row r="931" customFormat="false" ht="15.75" hidden="false" customHeight="false" outlineLevel="0" collapsed="false">
      <c r="A931" s="4"/>
      <c r="B931" s="3"/>
      <c r="C931" s="3"/>
    </row>
    <row r="932" customFormat="false" ht="15.75" hidden="false" customHeight="false" outlineLevel="0" collapsed="false">
      <c r="A932" s="4"/>
      <c r="B932" s="3"/>
      <c r="C932" s="3"/>
    </row>
    <row r="933" customFormat="false" ht="15.75" hidden="false" customHeight="false" outlineLevel="0" collapsed="false">
      <c r="A933" s="4"/>
      <c r="B933" s="3"/>
      <c r="C933" s="3"/>
    </row>
    <row r="934" customFormat="false" ht="15.75" hidden="false" customHeight="false" outlineLevel="0" collapsed="false">
      <c r="A934" s="4"/>
      <c r="B934" s="3"/>
      <c r="C934" s="3"/>
    </row>
    <row r="935" customFormat="false" ht="15.75" hidden="false" customHeight="false" outlineLevel="0" collapsed="false">
      <c r="A935" s="4"/>
      <c r="B935" s="3"/>
      <c r="C935" s="3"/>
    </row>
    <row r="936" customFormat="false" ht="15.75" hidden="false" customHeight="false" outlineLevel="0" collapsed="false">
      <c r="A936" s="4"/>
      <c r="B936" s="3"/>
      <c r="C936" s="3"/>
    </row>
    <row r="937" customFormat="false" ht="15.75" hidden="false" customHeight="false" outlineLevel="0" collapsed="false">
      <c r="A937" s="4"/>
      <c r="B937" s="3"/>
      <c r="C937" s="3"/>
    </row>
    <row r="938" customFormat="false" ht="15.75" hidden="false" customHeight="false" outlineLevel="0" collapsed="false">
      <c r="A938" s="4"/>
      <c r="B938" s="3"/>
      <c r="C938" s="3"/>
    </row>
    <row r="939" customFormat="false" ht="15.75" hidden="false" customHeight="false" outlineLevel="0" collapsed="false">
      <c r="A939" s="4"/>
      <c r="B939" s="3"/>
      <c r="C939" s="3"/>
    </row>
    <row r="940" customFormat="false" ht="15.75" hidden="false" customHeight="false" outlineLevel="0" collapsed="false">
      <c r="A940" s="4"/>
      <c r="B940" s="3"/>
      <c r="C940" s="3"/>
    </row>
    <row r="941" customFormat="false" ht="15.75" hidden="false" customHeight="false" outlineLevel="0" collapsed="false">
      <c r="A941" s="4"/>
      <c r="B941" s="3"/>
      <c r="C941" s="3"/>
    </row>
    <row r="942" customFormat="false" ht="15.75" hidden="false" customHeight="false" outlineLevel="0" collapsed="false">
      <c r="A942" s="4"/>
      <c r="B942" s="3"/>
      <c r="C942" s="3"/>
    </row>
    <row r="943" customFormat="false" ht="15.75" hidden="false" customHeight="false" outlineLevel="0" collapsed="false">
      <c r="A943" s="4"/>
      <c r="B943" s="3"/>
      <c r="C943" s="3"/>
    </row>
    <row r="944" customFormat="false" ht="15.75" hidden="false" customHeight="false" outlineLevel="0" collapsed="false">
      <c r="A944" s="4"/>
      <c r="B944" s="3"/>
      <c r="C944" s="3"/>
    </row>
    <row r="945" customFormat="false" ht="15.75" hidden="false" customHeight="false" outlineLevel="0" collapsed="false">
      <c r="A945" s="4"/>
      <c r="B945" s="3"/>
      <c r="C945" s="3"/>
    </row>
    <row r="946" customFormat="false" ht="15.75" hidden="false" customHeight="false" outlineLevel="0" collapsed="false">
      <c r="A946" s="4"/>
      <c r="B946" s="3"/>
      <c r="C946" s="3"/>
    </row>
    <row r="947" customFormat="false" ht="15.75" hidden="false" customHeight="false" outlineLevel="0" collapsed="false">
      <c r="A947" s="4"/>
      <c r="B947" s="3"/>
      <c r="C947" s="3"/>
    </row>
    <row r="948" customFormat="false" ht="15.75" hidden="false" customHeight="false" outlineLevel="0" collapsed="false">
      <c r="A948" s="4"/>
      <c r="B948" s="3"/>
      <c r="C948" s="3"/>
    </row>
    <row r="949" customFormat="false" ht="15.75" hidden="false" customHeight="false" outlineLevel="0" collapsed="false">
      <c r="A949" s="4"/>
      <c r="B949" s="3"/>
      <c r="C949" s="3"/>
    </row>
    <row r="950" customFormat="false" ht="15.75" hidden="false" customHeight="false" outlineLevel="0" collapsed="false">
      <c r="A950" s="4"/>
      <c r="B950" s="3"/>
      <c r="C950" s="3"/>
    </row>
    <row r="951" customFormat="false" ht="15.75" hidden="false" customHeight="false" outlineLevel="0" collapsed="false">
      <c r="A951" s="4"/>
      <c r="B951" s="3"/>
      <c r="C951" s="3"/>
    </row>
    <row r="952" customFormat="false" ht="15.75" hidden="false" customHeight="false" outlineLevel="0" collapsed="false">
      <c r="A952" s="4"/>
      <c r="B952" s="3"/>
      <c r="C952" s="3"/>
    </row>
    <row r="953" customFormat="false" ht="15.75" hidden="false" customHeight="false" outlineLevel="0" collapsed="false">
      <c r="A953" s="4"/>
      <c r="B953" s="3"/>
      <c r="C953" s="3"/>
    </row>
    <row r="954" customFormat="false" ht="15.75" hidden="false" customHeight="false" outlineLevel="0" collapsed="false">
      <c r="A954" s="4"/>
      <c r="B954" s="3"/>
      <c r="C954" s="3"/>
    </row>
    <row r="955" customFormat="false" ht="15.75" hidden="false" customHeight="false" outlineLevel="0" collapsed="false">
      <c r="A955" s="4"/>
      <c r="B955" s="3"/>
      <c r="C955" s="3"/>
    </row>
    <row r="956" customFormat="false" ht="15.75" hidden="false" customHeight="false" outlineLevel="0" collapsed="false">
      <c r="A956" s="4"/>
      <c r="B956" s="3"/>
      <c r="C956" s="3"/>
    </row>
    <row r="957" customFormat="false" ht="15.75" hidden="false" customHeight="false" outlineLevel="0" collapsed="false">
      <c r="A957" s="4"/>
      <c r="B957" s="3"/>
      <c r="C957" s="3"/>
    </row>
    <row r="958" customFormat="false" ht="15.75" hidden="false" customHeight="false" outlineLevel="0" collapsed="false">
      <c r="A958" s="4"/>
      <c r="B958" s="3"/>
      <c r="C958" s="3"/>
    </row>
    <row r="959" customFormat="false" ht="15.75" hidden="false" customHeight="false" outlineLevel="0" collapsed="false">
      <c r="A959" s="4"/>
      <c r="B959" s="3"/>
      <c r="C959" s="3"/>
    </row>
    <row r="960" customFormat="false" ht="15.75" hidden="false" customHeight="false" outlineLevel="0" collapsed="false">
      <c r="A960" s="4"/>
      <c r="B960" s="3"/>
      <c r="C960" s="3"/>
    </row>
    <row r="961" customFormat="false" ht="15.75" hidden="false" customHeight="false" outlineLevel="0" collapsed="false">
      <c r="A961" s="4"/>
      <c r="B961" s="3"/>
      <c r="C961" s="3"/>
    </row>
    <row r="962" customFormat="false" ht="15.75" hidden="false" customHeight="false" outlineLevel="0" collapsed="false">
      <c r="A962" s="4"/>
      <c r="B962" s="3"/>
      <c r="C962" s="3"/>
    </row>
    <row r="963" customFormat="false" ht="15.75" hidden="false" customHeight="false" outlineLevel="0" collapsed="false">
      <c r="A963" s="4"/>
      <c r="B963" s="3"/>
      <c r="C963" s="3"/>
    </row>
    <row r="964" customFormat="false" ht="15.75" hidden="false" customHeight="false" outlineLevel="0" collapsed="false">
      <c r="A964" s="4"/>
      <c r="B964" s="3"/>
      <c r="C964" s="3"/>
    </row>
    <row r="965" customFormat="false" ht="15.75" hidden="false" customHeight="false" outlineLevel="0" collapsed="false">
      <c r="A965" s="4"/>
      <c r="B965" s="3"/>
      <c r="C965" s="3"/>
    </row>
    <row r="966" customFormat="false" ht="15.75" hidden="false" customHeight="false" outlineLevel="0" collapsed="false">
      <c r="A966" s="4"/>
      <c r="B966" s="3"/>
      <c r="C966" s="3"/>
    </row>
    <row r="967" customFormat="false" ht="15.75" hidden="false" customHeight="false" outlineLevel="0" collapsed="false">
      <c r="A967" s="4"/>
      <c r="B967" s="3"/>
      <c r="C967" s="3"/>
    </row>
    <row r="968" customFormat="false" ht="15.75" hidden="false" customHeight="false" outlineLevel="0" collapsed="false">
      <c r="A968" s="4"/>
      <c r="B968" s="3"/>
      <c r="C968" s="3"/>
    </row>
    <row r="969" customFormat="false" ht="15.75" hidden="false" customHeight="false" outlineLevel="0" collapsed="false">
      <c r="A969" s="4"/>
      <c r="B969" s="3"/>
      <c r="C969" s="3"/>
    </row>
    <row r="970" customFormat="false" ht="15.75" hidden="false" customHeight="false" outlineLevel="0" collapsed="false">
      <c r="A970" s="4"/>
      <c r="B970" s="3"/>
      <c r="C970" s="3"/>
    </row>
    <row r="971" customFormat="false" ht="15.75" hidden="false" customHeight="false" outlineLevel="0" collapsed="false">
      <c r="A971" s="4"/>
      <c r="B971" s="3"/>
      <c r="C971" s="3"/>
    </row>
    <row r="972" customFormat="false" ht="15.75" hidden="false" customHeight="false" outlineLevel="0" collapsed="false">
      <c r="A972" s="4"/>
      <c r="B972" s="3"/>
      <c r="C972" s="3"/>
    </row>
    <row r="973" customFormat="false" ht="15.75" hidden="false" customHeight="false" outlineLevel="0" collapsed="false">
      <c r="A973" s="4"/>
      <c r="B973" s="3"/>
      <c r="C973" s="3"/>
    </row>
    <row r="974" customFormat="false" ht="15.75" hidden="false" customHeight="false" outlineLevel="0" collapsed="false">
      <c r="A974" s="4"/>
      <c r="B974" s="3"/>
      <c r="C974" s="3"/>
    </row>
    <row r="975" customFormat="false" ht="15.75" hidden="false" customHeight="false" outlineLevel="0" collapsed="false">
      <c r="A975" s="4"/>
      <c r="B975" s="3"/>
      <c r="C975" s="3"/>
    </row>
    <row r="976" customFormat="false" ht="15.75" hidden="false" customHeight="false" outlineLevel="0" collapsed="false">
      <c r="A976" s="4"/>
      <c r="B976" s="3"/>
      <c r="C976" s="3"/>
    </row>
    <row r="977" customFormat="false" ht="15.75" hidden="false" customHeight="false" outlineLevel="0" collapsed="false">
      <c r="A977" s="4"/>
      <c r="B977" s="3"/>
      <c r="C977" s="3"/>
    </row>
    <row r="978" customFormat="false" ht="15.75" hidden="false" customHeight="false" outlineLevel="0" collapsed="false">
      <c r="A978" s="4"/>
      <c r="B978" s="3"/>
      <c r="C978" s="3"/>
    </row>
    <row r="979" customFormat="false" ht="15.75" hidden="false" customHeight="false" outlineLevel="0" collapsed="false">
      <c r="A979" s="4"/>
      <c r="B979" s="3"/>
      <c r="C979" s="3"/>
    </row>
    <row r="980" customFormat="false" ht="15.75" hidden="false" customHeight="false" outlineLevel="0" collapsed="false">
      <c r="A980" s="4"/>
      <c r="B980" s="3"/>
      <c r="C980" s="3"/>
    </row>
    <row r="981" customFormat="false" ht="15.75" hidden="false" customHeight="false" outlineLevel="0" collapsed="false">
      <c r="A981" s="4"/>
      <c r="B981" s="3"/>
      <c r="C981" s="3"/>
    </row>
    <row r="982" customFormat="false" ht="15.75" hidden="false" customHeight="false" outlineLevel="0" collapsed="false">
      <c r="A982" s="4"/>
      <c r="B982" s="3"/>
      <c r="C982" s="3"/>
    </row>
    <row r="983" customFormat="false" ht="15.75" hidden="false" customHeight="false" outlineLevel="0" collapsed="false">
      <c r="A983" s="4"/>
      <c r="B983" s="3"/>
      <c r="C983" s="3"/>
    </row>
    <row r="984" customFormat="false" ht="15.75" hidden="false" customHeight="false" outlineLevel="0" collapsed="false">
      <c r="A984" s="4"/>
      <c r="B984" s="3"/>
      <c r="C984" s="3"/>
    </row>
    <row r="985" customFormat="false" ht="15.75" hidden="false" customHeight="false" outlineLevel="0" collapsed="false">
      <c r="A985" s="4"/>
      <c r="B985" s="3"/>
      <c r="C985" s="3"/>
    </row>
    <row r="986" customFormat="false" ht="15.75" hidden="false" customHeight="false" outlineLevel="0" collapsed="false">
      <c r="A986" s="4"/>
      <c r="B986" s="3"/>
      <c r="C986" s="3"/>
    </row>
    <row r="987" customFormat="false" ht="15.75" hidden="false" customHeight="false" outlineLevel="0" collapsed="false">
      <c r="A987" s="4"/>
      <c r="B987" s="3"/>
      <c r="C987" s="3"/>
    </row>
    <row r="988" customFormat="false" ht="15.75" hidden="false" customHeight="false" outlineLevel="0" collapsed="false">
      <c r="A988" s="4"/>
      <c r="B988" s="3"/>
      <c r="C988" s="3"/>
    </row>
    <row r="989" customFormat="false" ht="15.75" hidden="false" customHeight="false" outlineLevel="0" collapsed="false">
      <c r="A989" s="4"/>
      <c r="B989" s="3"/>
      <c r="C989" s="3"/>
    </row>
    <row r="990" customFormat="false" ht="15.75" hidden="false" customHeight="false" outlineLevel="0" collapsed="false">
      <c r="A990" s="4"/>
      <c r="B990" s="3"/>
      <c r="C990" s="3"/>
    </row>
    <row r="991" customFormat="false" ht="15.75" hidden="false" customHeight="false" outlineLevel="0" collapsed="false">
      <c r="A991" s="4"/>
      <c r="B991" s="3"/>
      <c r="C991" s="3"/>
    </row>
    <row r="992" customFormat="false" ht="15.75" hidden="false" customHeight="false" outlineLevel="0" collapsed="false">
      <c r="A992" s="4"/>
      <c r="B992" s="3"/>
      <c r="C992" s="3"/>
    </row>
    <row r="993" customFormat="false" ht="15.75" hidden="false" customHeight="false" outlineLevel="0" collapsed="false">
      <c r="A993" s="4"/>
      <c r="B993" s="3"/>
      <c r="C993" s="3"/>
    </row>
    <row r="994" customFormat="false" ht="15.75" hidden="false" customHeight="false" outlineLevel="0" collapsed="false">
      <c r="A994" s="4"/>
      <c r="B994" s="3"/>
      <c r="C994" s="3"/>
    </row>
    <row r="995" customFormat="false" ht="15.75" hidden="false" customHeight="false" outlineLevel="0" collapsed="false">
      <c r="A995" s="4"/>
      <c r="B995" s="3"/>
      <c r="C995" s="3"/>
    </row>
    <row r="996" customFormat="false" ht="15.75" hidden="false" customHeight="false" outlineLevel="0" collapsed="false">
      <c r="A996" s="4"/>
      <c r="B996" s="3"/>
      <c r="C996" s="3"/>
    </row>
    <row r="997" customFormat="false" ht="15.75" hidden="false" customHeight="false" outlineLevel="0" collapsed="false">
      <c r="A997" s="4"/>
      <c r="B997" s="3"/>
      <c r="C997" s="3"/>
    </row>
    <row r="998" customFormat="false" ht="15.75" hidden="false" customHeight="false" outlineLevel="0" collapsed="false">
      <c r="A998" s="4"/>
      <c r="B998" s="3"/>
      <c r="C998" s="3"/>
    </row>
    <row r="999" customFormat="false" ht="15.75" hidden="false" customHeight="false" outlineLevel="0" collapsed="false">
      <c r="A999" s="4"/>
      <c r="B999" s="3"/>
      <c r="C999" s="3"/>
    </row>
    <row r="1000" customFormat="false" ht="15.75" hidden="false" customHeight="false" outlineLevel="0" collapsed="false">
      <c r="A1000" s="4"/>
      <c r="B1000" s="3"/>
      <c r="C1000" s="3"/>
    </row>
    <row r="1001" customFormat="false" ht="15.75" hidden="false" customHeight="false" outlineLevel="0" collapsed="false">
      <c r="A1001" s="4"/>
      <c r="B1001" s="3"/>
      <c r="C1001" s="3"/>
    </row>
    <row r="1002" customFormat="false" ht="15.75" hidden="false" customHeight="false" outlineLevel="0" collapsed="false">
      <c r="A1002" s="4"/>
      <c r="B1002" s="3"/>
      <c r="C1002" s="3"/>
    </row>
    <row r="1003" customFormat="false" ht="15.75" hidden="false" customHeight="false" outlineLevel="0" collapsed="false">
      <c r="A1003" s="4"/>
      <c r="B1003" s="3"/>
      <c r="C1003" s="3"/>
    </row>
    <row r="1004" customFormat="false" ht="15.75" hidden="false" customHeight="false" outlineLevel="0" collapsed="false">
      <c r="A1004" s="4"/>
      <c r="B1004" s="3"/>
      <c r="C1004" s="3"/>
    </row>
    <row r="1005" customFormat="false" ht="15.75" hidden="false" customHeight="false" outlineLevel="0" collapsed="false">
      <c r="A1005" s="4"/>
      <c r="B1005" s="3"/>
      <c r="C1005" s="3"/>
    </row>
    <row r="1006" customFormat="false" ht="15.75" hidden="false" customHeight="false" outlineLevel="0" collapsed="false">
      <c r="A1006" s="4"/>
      <c r="B1006" s="3"/>
      <c r="C1006" s="3"/>
    </row>
    <row r="1007" customFormat="false" ht="15.75" hidden="false" customHeight="false" outlineLevel="0" collapsed="false">
      <c r="A1007" s="4"/>
      <c r="B1007" s="3"/>
      <c r="C1007" s="3"/>
    </row>
    <row r="1008" customFormat="false" ht="15.75" hidden="false" customHeight="false" outlineLevel="0" collapsed="false">
      <c r="A1008" s="4"/>
      <c r="B1008" s="3"/>
      <c r="C1008" s="3"/>
    </row>
    <row r="1009" customFormat="false" ht="15.75" hidden="false" customHeight="false" outlineLevel="0" collapsed="false">
      <c r="A1009" s="4"/>
      <c r="B1009" s="3"/>
      <c r="C1009" s="3"/>
    </row>
    <row r="1010" customFormat="false" ht="15.75" hidden="false" customHeight="false" outlineLevel="0" collapsed="false">
      <c r="A1010" s="4"/>
      <c r="B1010" s="3"/>
      <c r="C1010" s="3"/>
    </row>
    <row r="1011" customFormat="false" ht="15.75" hidden="false" customHeight="false" outlineLevel="0" collapsed="false">
      <c r="A1011" s="4"/>
      <c r="B1011" s="3"/>
      <c r="C1011" s="3"/>
    </row>
    <row r="1012" customFormat="false" ht="15.75" hidden="false" customHeight="false" outlineLevel="0" collapsed="false">
      <c r="A1012" s="4"/>
      <c r="B1012" s="3"/>
      <c r="C1012" s="3"/>
    </row>
    <row r="1013" customFormat="false" ht="15.75" hidden="false" customHeight="false" outlineLevel="0" collapsed="false">
      <c r="A1013" s="4"/>
      <c r="B1013" s="3"/>
      <c r="C1013" s="3"/>
    </row>
    <row r="1014" customFormat="false" ht="15.75" hidden="false" customHeight="false" outlineLevel="0" collapsed="false">
      <c r="A1014" s="4"/>
      <c r="B1014" s="3"/>
      <c r="C1014" s="3"/>
    </row>
    <row r="1015" customFormat="false" ht="15.75" hidden="false" customHeight="false" outlineLevel="0" collapsed="false">
      <c r="A1015" s="4"/>
      <c r="B1015" s="3"/>
      <c r="C1015" s="3"/>
    </row>
    <row r="1016" customFormat="false" ht="15.75" hidden="false" customHeight="false" outlineLevel="0" collapsed="false">
      <c r="A1016" s="4"/>
      <c r="B1016" s="3"/>
      <c r="C1016" s="3"/>
    </row>
    <row r="1017" customFormat="false" ht="15.75" hidden="false" customHeight="false" outlineLevel="0" collapsed="false">
      <c r="A1017" s="4"/>
      <c r="B1017" s="3"/>
      <c r="C1017" s="3"/>
    </row>
    <row r="1018" customFormat="false" ht="15.75" hidden="false" customHeight="false" outlineLevel="0" collapsed="false">
      <c r="A1018" s="4"/>
      <c r="B1018" s="3"/>
      <c r="C1018" s="3"/>
    </row>
    <row r="1019" customFormat="false" ht="15.75" hidden="false" customHeight="false" outlineLevel="0" collapsed="false">
      <c r="A1019" s="4"/>
      <c r="B1019" s="3"/>
      <c r="C1019" s="3"/>
    </row>
    <row r="1020" customFormat="false" ht="15.75" hidden="false" customHeight="false" outlineLevel="0" collapsed="false">
      <c r="A1020" s="4"/>
      <c r="B1020" s="3"/>
      <c r="C1020" s="3"/>
    </row>
    <row r="1021" customFormat="false" ht="15.75" hidden="false" customHeight="false" outlineLevel="0" collapsed="false">
      <c r="A1021" s="4"/>
      <c r="B1021" s="3"/>
      <c r="C1021" s="3"/>
    </row>
    <row r="1022" customFormat="false" ht="15.75" hidden="false" customHeight="false" outlineLevel="0" collapsed="false">
      <c r="A1022" s="4"/>
      <c r="B1022" s="3"/>
      <c r="C1022" s="3"/>
    </row>
    <row r="1023" customFormat="false" ht="15.75" hidden="false" customHeight="false" outlineLevel="0" collapsed="false">
      <c r="A1023" s="4"/>
      <c r="B1023" s="3"/>
      <c r="C1023" s="3"/>
    </row>
    <row r="1024" customFormat="false" ht="15.75" hidden="false" customHeight="false" outlineLevel="0" collapsed="false">
      <c r="A1024" s="4"/>
      <c r="B1024" s="3"/>
      <c r="C1024" s="3"/>
    </row>
    <row r="1025" customFormat="false" ht="15.75" hidden="false" customHeight="false" outlineLevel="0" collapsed="false">
      <c r="A1025" s="4"/>
      <c r="B1025" s="3"/>
      <c r="C1025" s="3"/>
    </row>
    <row r="1026" customFormat="false" ht="15.75" hidden="false" customHeight="false" outlineLevel="0" collapsed="false">
      <c r="A1026" s="4"/>
      <c r="B1026" s="3"/>
      <c r="C1026" s="3"/>
    </row>
    <row r="1027" customFormat="false" ht="15.75" hidden="false" customHeight="false" outlineLevel="0" collapsed="false">
      <c r="A1027" s="4"/>
      <c r="B1027" s="3"/>
      <c r="C1027" s="3"/>
    </row>
    <row r="1028" customFormat="false" ht="15.75" hidden="false" customHeight="false" outlineLevel="0" collapsed="false">
      <c r="A1028" s="4"/>
      <c r="B1028" s="3"/>
      <c r="C1028" s="3"/>
    </row>
    <row r="1029" customFormat="false" ht="15.75" hidden="false" customHeight="false" outlineLevel="0" collapsed="false">
      <c r="A1029" s="4"/>
      <c r="B1029" s="3"/>
      <c r="C1029" s="3"/>
    </row>
    <row r="1030" customFormat="false" ht="15.75" hidden="false" customHeight="false" outlineLevel="0" collapsed="false">
      <c r="A1030" s="4"/>
      <c r="B1030" s="3"/>
      <c r="C1030" s="3"/>
    </row>
    <row r="1031" customFormat="false" ht="15.75" hidden="false" customHeight="false" outlineLevel="0" collapsed="false">
      <c r="A1031" s="4"/>
      <c r="B1031" s="3"/>
      <c r="C1031" s="3"/>
    </row>
    <row r="1032" customFormat="false" ht="15.75" hidden="false" customHeight="false" outlineLevel="0" collapsed="false">
      <c r="A1032" s="4"/>
      <c r="B1032" s="3"/>
      <c r="C1032" s="3"/>
    </row>
    <row r="1033" customFormat="false" ht="15.75" hidden="false" customHeight="false" outlineLevel="0" collapsed="false">
      <c r="A1033" s="4"/>
      <c r="B1033" s="3"/>
      <c r="C1033" s="3"/>
    </row>
    <row r="1034" customFormat="false" ht="15.75" hidden="false" customHeight="false" outlineLevel="0" collapsed="false">
      <c r="A1034" s="4"/>
      <c r="B1034" s="3"/>
      <c r="C1034" s="3"/>
    </row>
    <row r="1035" customFormat="false" ht="15.75" hidden="false" customHeight="false" outlineLevel="0" collapsed="false">
      <c r="A1035" s="4"/>
      <c r="B1035" s="3"/>
      <c r="C1035" s="3"/>
    </row>
    <row r="1036" customFormat="false" ht="15.75" hidden="false" customHeight="false" outlineLevel="0" collapsed="false">
      <c r="A1036" s="4"/>
      <c r="B1036" s="3"/>
      <c r="C1036" s="3"/>
    </row>
    <row r="1037" customFormat="false" ht="15.75" hidden="false" customHeight="false" outlineLevel="0" collapsed="false">
      <c r="A1037" s="4"/>
      <c r="B1037" s="3"/>
      <c r="C1037" s="3"/>
    </row>
    <row r="1038" customFormat="false" ht="15.75" hidden="false" customHeight="false" outlineLevel="0" collapsed="false">
      <c r="A1038" s="4"/>
      <c r="B1038" s="3"/>
      <c r="C1038" s="3"/>
    </row>
    <row r="1039" customFormat="false" ht="15.75" hidden="false" customHeight="false" outlineLevel="0" collapsed="false">
      <c r="A1039" s="4"/>
      <c r="B1039" s="3"/>
      <c r="C1039" s="3"/>
    </row>
    <row r="1040" customFormat="false" ht="15.75" hidden="false" customHeight="false" outlineLevel="0" collapsed="false">
      <c r="A1040" s="4"/>
      <c r="B1040" s="3"/>
      <c r="C1040" s="3"/>
    </row>
    <row r="1041" customFormat="false" ht="15.75" hidden="false" customHeight="false" outlineLevel="0" collapsed="false">
      <c r="A1041" s="4"/>
      <c r="B1041" s="3"/>
      <c r="C1041" s="3"/>
    </row>
    <row r="1042" customFormat="false" ht="15.75" hidden="false" customHeight="false" outlineLevel="0" collapsed="false">
      <c r="A1042" s="4"/>
      <c r="B1042" s="3"/>
      <c r="C1042" s="3"/>
    </row>
    <row r="1043" customFormat="false" ht="15.75" hidden="false" customHeight="false" outlineLevel="0" collapsed="false">
      <c r="A1043" s="4"/>
      <c r="B1043" s="3"/>
      <c r="C1043" s="3"/>
    </row>
    <row r="1044" customFormat="false" ht="15.75" hidden="false" customHeight="false" outlineLevel="0" collapsed="false">
      <c r="A1044" s="4"/>
      <c r="B1044" s="3"/>
      <c r="C1044" s="3"/>
    </row>
    <row r="1045" customFormat="false" ht="15.75" hidden="false" customHeight="false" outlineLevel="0" collapsed="false">
      <c r="A1045" s="4"/>
      <c r="B1045" s="3"/>
      <c r="C1045" s="3"/>
    </row>
    <row r="1046" customFormat="false" ht="15.75" hidden="false" customHeight="false" outlineLevel="0" collapsed="false">
      <c r="A1046" s="4"/>
      <c r="B1046" s="3"/>
      <c r="C1046" s="3"/>
    </row>
    <row r="1047" customFormat="false" ht="15.75" hidden="false" customHeight="false" outlineLevel="0" collapsed="false">
      <c r="A1047" s="4"/>
      <c r="B1047" s="3"/>
      <c r="C1047" s="3"/>
    </row>
    <row r="1048" customFormat="false" ht="15.75" hidden="false" customHeight="false" outlineLevel="0" collapsed="false">
      <c r="A1048" s="4"/>
      <c r="B1048" s="3"/>
      <c r="C1048" s="3"/>
    </row>
    <row r="1049" customFormat="false" ht="15.75" hidden="false" customHeight="false" outlineLevel="0" collapsed="false">
      <c r="A1049" s="4"/>
      <c r="B1049" s="3"/>
      <c r="C1049" s="3"/>
    </row>
    <row r="1050" customFormat="false" ht="15.75" hidden="false" customHeight="false" outlineLevel="0" collapsed="false">
      <c r="A1050" s="4"/>
      <c r="B1050" s="3"/>
      <c r="C1050" s="3"/>
    </row>
    <row r="1051" customFormat="false" ht="15.75" hidden="false" customHeight="false" outlineLevel="0" collapsed="false">
      <c r="A1051" s="4"/>
      <c r="B1051" s="3"/>
      <c r="C1051" s="3"/>
    </row>
    <row r="1052" customFormat="false" ht="15.75" hidden="false" customHeight="false" outlineLevel="0" collapsed="false">
      <c r="A1052" s="4"/>
      <c r="B1052" s="3"/>
      <c r="C1052" s="3"/>
    </row>
    <row r="1053" customFormat="false" ht="15.75" hidden="false" customHeight="false" outlineLevel="0" collapsed="false">
      <c r="A1053" s="4"/>
      <c r="B1053" s="3"/>
      <c r="C1053" s="3"/>
    </row>
    <row r="1054" customFormat="false" ht="15.75" hidden="false" customHeight="false" outlineLevel="0" collapsed="false">
      <c r="A1054" s="4"/>
      <c r="B1054" s="3"/>
      <c r="C1054" s="3"/>
    </row>
    <row r="1055" customFormat="false" ht="15.75" hidden="false" customHeight="false" outlineLevel="0" collapsed="false">
      <c r="A1055" s="4"/>
      <c r="B1055" s="3"/>
      <c r="C1055" s="3"/>
    </row>
    <row r="1056" customFormat="false" ht="15.75" hidden="false" customHeight="false" outlineLevel="0" collapsed="false">
      <c r="A1056" s="4"/>
      <c r="B1056" s="3"/>
      <c r="C1056" s="3"/>
    </row>
    <row r="1057" customFormat="false" ht="15.75" hidden="false" customHeight="false" outlineLevel="0" collapsed="false">
      <c r="A1057" s="4"/>
      <c r="B1057" s="3"/>
      <c r="C1057" s="3"/>
    </row>
    <row r="1058" customFormat="false" ht="15.75" hidden="false" customHeight="false" outlineLevel="0" collapsed="false">
      <c r="A1058" s="4"/>
      <c r="B1058" s="3"/>
      <c r="C1058" s="3"/>
    </row>
    <row r="1059" customFormat="false" ht="15.75" hidden="false" customHeight="false" outlineLevel="0" collapsed="false">
      <c r="A1059" s="4"/>
      <c r="B1059" s="3"/>
      <c r="C1059" s="3"/>
    </row>
    <row r="1060" customFormat="false" ht="15.75" hidden="false" customHeight="false" outlineLevel="0" collapsed="false">
      <c r="A1060" s="4"/>
      <c r="B1060" s="3"/>
      <c r="C1060" s="3"/>
    </row>
    <row r="1061" customFormat="false" ht="15.75" hidden="false" customHeight="false" outlineLevel="0" collapsed="false">
      <c r="A1061" s="4"/>
      <c r="B1061" s="3"/>
      <c r="C1061" s="3"/>
    </row>
    <row r="1062" customFormat="false" ht="15.75" hidden="false" customHeight="false" outlineLevel="0" collapsed="false">
      <c r="A1062" s="4"/>
      <c r="B1062" s="3"/>
      <c r="C1062" s="3"/>
    </row>
    <row r="1063" customFormat="false" ht="15.75" hidden="false" customHeight="false" outlineLevel="0" collapsed="false">
      <c r="A1063" s="4"/>
      <c r="B1063" s="3"/>
      <c r="C1063" s="3"/>
    </row>
    <row r="1064" customFormat="false" ht="15.75" hidden="false" customHeight="false" outlineLevel="0" collapsed="false">
      <c r="A1064" s="4"/>
      <c r="B1064" s="3"/>
      <c r="C1064" s="3"/>
    </row>
    <row r="1065" customFormat="false" ht="15.75" hidden="false" customHeight="false" outlineLevel="0" collapsed="false">
      <c r="A1065" s="4"/>
      <c r="B1065" s="3"/>
      <c r="C1065" s="3"/>
    </row>
    <row r="1066" customFormat="false" ht="15.75" hidden="false" customHeight="false" outlineLevel="0" collapsed="false">
      <c r="A1066" s="4"/>
      <c r="B1066" s="3"/>
      <c r="C1066" s="3"/>
    </row>
    <row r="1067" customFormat="false" ht="15.75" hidden="false" customHeight="false" outlineLevel="0" collapsed="false">
      <c r="A1067" s="4"/>
      <c r="B1067" s="3"/>
      <c r="C1067" s="3"/>
    </row>
    <row r="1068" customFormat="false" ht="15.75" hidden="false" customHeight="false" outlineLevel="0" collapsed="false">
      <c r="A1068" s="4"/>
      <c r="B1068" s="3"/>
      <c r="C1068" s="3"/>
    </row>
    <row r="1069" customFormat="false" ht="15.75" hidden="false" customHeight="false" outlineLevel="0" collapsed="false">
      <c r="A1069" s="4"/>
      <c r="B1069" s="3"/>
      <c r="C1069" s="3"/>
    </row>
    <row r="1070" customFormat="false" ht="15.75" hidden="false" customHeight="false" outlineLevel="0" collapsed="false">
      <c r="A1070" s="4"/>
      <c r="B1070" s="3"/>
      <c r="C1070" s="3"/>
    </row>
    <row r="1071" customFormat="false" ht="15.75" hidden="false" customHeight="false" outlineLevel="0" collapsed="false">
      <c r="A1071" s="4"/>
      <c r="B1071" s="3"/>
      <c r="C1071" s="3"/>
    </row>
    <row r="1072" customFormat="false" ht="15.75" hidden="false" customHeight="false" outlineLevel="0" collapsed="false">
      <c r="A1072" s="4"/>
      <c r="B1072" s="3"/>
      <c r="C1072" s="3"/>
    </row>
    <row r="1073" customFormat="false" ht="15.75" hidden="false" customHeight="false" outlineLevel="0" collapsed="false">
      <c r="A1073" s="4"/>
      <c r="B1073" s="3"/>
      <c r="C1073" s="3"/>
    </row>
    <row r="1074" customFormat="false" ht="15.75" hidden="false" customHeight="false" outlineLevel="0" collapsed="false">
      <c r="A1074" s="4"/>
      <c r="B1074" s="3"/>
      <c r="C1074" s="3"/>
    </row>
    <row r="1075" customFormat="false" ht="15.75" hidden="false" customHeight="false" outlineLevel="0" collapsed="false">
      <c r="A1075" s="4"/>
      <c r="B1075" s="3"/>
      <c r="C1075" s="3"/>
    </row>
    <row r="1076" customFormat="false" ht="15.75" hidden="false" customHeight="false" outlineLevel="0" collapsed="false">
      <c r="A1076" s="4"/>
      <c r="B1076" s="3"/>
      <c r="C1076" s="3"/>
    </row>
    <row r="1077" customFormat="false" ht="15.75" hidden="false" customHeight="false" outlineLevel="0" collapsed="false">
      <c r="A1077" s="4"/>
      <c r="B1077" s="3"/>
      <c r="C1077" s="3"/>
    </row>
    <row r="1078" customFormat="false" ht="15.75" hidden="false" customHeight="false" outlineLevel="0" collapsed="false">
      <c r="A1078" s="4"/>
      <c r="B1078" s="3"/>
      <c r="C1078" s="3"/>
    </row>
    <row r="1079" customFormat="false" ht="15.75" hidden="false" customHeight="false" outlineLevel="0" collapsed="false">
      <c r="A1079" s="4"/>
      <c r="B1079" s="3"/>
      <c r="C1079" s="3"/>
    </row>
    <row r="1080" customFormat="false" ht="15.75" hidden="false" customHeight="false" outlineLevel="0" collapsed="false">
      <c r="A1080" s="4"/>
      <c r="B1080" s="3"/>
      <c r="C1080" s="3"/>
    </row>
    <row r="1081" customFormat="false" ht="15.75" hidden="false" customHeight="false" outlineLevel="0" collapsed="false">
      <c r="A1081" s="4"/>
      <c r="B1081" s="3"/>
      <c r="C1081" s="3"/>
    </row>
    <row r="1082" customFormat="false" ht="15.75" hidden="false" customHeight="false" outlineLevel="0" collapsed="false">
      <c r="A1082" s="4"/>
      <c r="B1082" s="3"/>
      <c r="C1082" s="3"/>
    </row>
    <row r="1083" customFormat="false" ht="15.75" hidden="false" customHeight="false" outlineLevel="0" collapsed="false">
      <c r="A1083" s="4"/>
      <c r="B1083" s="3"/>
      <c r="C1083" s="3"/>
    </row>
    <row r="1084" customFormat="false" ht="15.75" hidden="false" customHeight="false" outlineLevel="0" collapsed="false">
      <c r="A1084" s="4"/>
      <c r="B1084" s="3"/>
      <c r="C1084" s="3"/>
    </row>
    <row r="1085" customFormat="false" ht="15.75" hidden="false" customHeight="false" outlineLevel="0" collapsed="false">
      <c r="A1085" s="4"/>
      <c r="B1085" s="3"/>
      <c r="C1085" s="3"/>
    </row>
    <row r="1086" customFormat="false" ht="15.75" hidden="false" customHeight="false" outlineLevel="0" collapsed="false">
      <c r="A1086" s="4"/>
      <c r="B1086" s="3"/>
      <c r="C1086" s="3"/>
    </row>
    <row r="1087" customFormat="false" ht="15.75" hidden="false" customHeight="false" outlineLevel="0" collapsed="false">
      <c r="A1087" s="4"/>
      <c r="B1087" s="3"/>
      <c r="C1087" s="3"/>
    </row>
    <row r="1088" customFormat="false" ht="15.75" hidden="false" customHeight="false" outlineLevel="0" collapsed="false">
      <c r="A1088" s="4"/>
      <c r="B1088" s="3"/>
      <c r="C1088" s="3"/>
    </row>
    <row r="1089" customFormat="false" ht="15.75" hidden="false" customHeight="false" outlineLevel="0" collapsed="false">
      <c r="A1089" s="4"/>
      <c r="B1089" s="3"/>
      <c r="C1089" s="3"/>
    </row>
    <row r="1090" customFormat="false" ht="15.75" hidden="false" customHeight="false" outlineLevel="0" collapsed="false">
      <c r="A1090" s="4"/>
      <c r="B1090" s="3"/>
      <c r="C1090" s="3"/>
    </row>
    <row r="1091" customFormat="false" ht="15.75" hidden="false" customHeight="false" outlineLevel="0" collapsed="false">
      <c r="A1091" s="4"/>
      <c r="B1091" s="3"/>
      <c r="C1091" s="3"/>
    </row>
    <row r="1092" customFormat="false" ht="15.75" hidden="false" customHeight="false" outlineLevel="0" collapsed="false">
      <c r="A1092" s="4"/>
      <c r="B1092" s="3"/>
      <c r="C1092" s="3"/>
    </row>
    <row r="1093" customFormat="false" ht="15.75" hidden="false" customHeight="false" outlineLevel="0" collapsed="false">
      <c r="A1093" s="4"/>
      <c r="B1093" s="3"/>
      <c r="C1093" s="3"/>
    </row>
    <row r="1094" customFormat="false" ht="15.75" hidden="false" customHeight="false" outlineLevel="0" collapsed="false">
      <c r="A1094" s="4"/>
      <c r="B1094" s="3"/>
      <c r="C1094" s="3"/>
    </row>
    <row r="1095" customFormat="false" ht="15.75" hidden="false" customHeight="false" outlineLevel="0" collapsed="false">
      <c r="A1095" s="4"/>
      <c r="B1095" s="3"/>
      <c r="C1095" s="3"/>
    </row>
    <row r="1096" customFormat="false" ht="15.75" hidden="false" customHeight="false" outlineLevel="0" collapsed="false">
      <c r="A1096" s="4"/>
      <c r="B1096" s="3"/>
      <c r="C1096" s="3"/>
    </row>
    <row r="1097" customFormat="false" ht="15.75" hidden="false" customHeight="false" outlineLevel="0" collapsed="false">
      <c r="A1097" s="4"/>
      <c r="B1097" s="3"/>
      <c r="C1097" s="3"/>
    </row>
    <row r="1098" customFormat="false" ht="15.75" hidden="false" customHeight="false" outlineLevel="0" collapsed="false">
      <c r="A1098" s="4"/>
      <c r="B1098" s="3"/>
      <c r="C1098" s="3"/>
    </row>
    <row r="1099" customFormat="false" ht="15.75" hidden="false" customHeight="false" outlineLevel="0" collapsed="false">
      <c r="A1099" s="4"/>
      <c r="B1099" s="3"/>
      <c r="C1099" s="3"/>
    </row>
    <row r="1100" customFormat="false" ht="15.75" hidden="false" customHeight="false" outlineLevel="0" collapsed="false">
      <c r="A1100" s="4"/>
      <c r="B1100" s="3"/>
      <c r="C1100" s="3"/>
    </row>
    <row r="1101" customFormat="false" ht="15.75" hidden="false" customHeight="false" outlineLevel="0" collapsed="false">
      <c r="A1101" s="4"/>
      <c r="B1101" s="3"/>
      <c r="C1101" s="3"/>
    </row>
    <row r="1102" customFormat="false" ht="15.75" hidden="false" customHeight="false" outlineLevel="0" collapsed="false">
      <c r="A1102" s="4"/>
      <c r="B1102" s="3"/>
      <c r="C1102" s="3"/>
    </row>
    <row r="1103" customFormat="false" ht="15.75" hidden="false" customHeight="false" outlineLevel="0" collapsed="false">
      <c r="A1103" s="4"/>
      <c r="B1103" s="3"/>
      <c r="C1103" s="3"/>
    </row>
    <row r="1104" customFormat="false" ht="15.75" hidden="false" customHeight="false" outlineLevel="0" collapsed="false">
      <c r="A1104" s="4"/>
      <c r="B1104" s="3"/>
      <c r="C1104" s="3"/>
    </row>
    <row r="1105" customFormat="false" ht="15.75" hidden="false" customHeight="false" outlineLevel="0" collapsed="false">
      <c r="A1105" s="4"/>
      <c r="B1105" s="3"/>
      <c r="C1105" s="3"/>
    </row>
    <row r="1106" customFormat="false" ht="15.75" hidden="false" customHeight="false" outlineLevel="0" collapsed="false">
      <c r="A1106" s="4"/>
      <c r="B1106" s="3"/>
      <c r="C1106" s="3"/>
    </row>
    <row r="1107" customFormat="false" ht="15.75" hidden="false" customHeight="false" outlineLevel="0" collapsed="false">
      <c r="A1107" s="4"/>
      <c r="B1107" s="3"/>
      <c r="C1107" s="3"/>
    </row>
    <row r="1108" customFormat="false" ht="15.75" hidden="false" customHeight="false" outlineLevel="0" collapsed="false">
      <c r="A1108" s="4"/>
      <c r="B1108" s="3"/>
      <c r="C1108" s="3"/>
    </row>
    <row r="1109" customFormat="false" ht="15.75" hidden="false" customHeight="false" outlineLevel="0" collapsed="false">
      <c r="A1109" s="4"/>
      <c r="B1109" s="3"/>
      <c r="C1109" s="3"/>
    </row>
    <row r="1110" customFormat="false" ht="15.75" hidden="false" customHeight="false" outlineLevel="0" collapsed="false">
      <c r="A1110" s="4"/>
      <c r="B1110" s="3"/>
      <c r="C1110" s="3"/>
    </row>
    <row r="1111" customFormat="false" ht="15.75" hidden="false" customHeight="false" outlineLevel="0" collapsed="false">
      <c r="A1111" s="4"/>
      <c r="B1111" s="3"/>
      <c r="C1111" s="3"/>
    </row>
    <row r="1112" customFormat="false" ht="15.75" hidden="false" customHeight="false" outlineLevel="0" collapsed="false">
      <c r="A1112" s="4"/>
      <c r="B1112" s="3"/>
      <c r="C1112" s="3"/>
    </row>
    <row r="1113" customFormat="false" ht="15.75" hidden="false" customHeight="false" outlineLevel="0" collapsed="false">
      <c r="A1113" s="4"/>
      <c r="B1113" s="3"/>
      <c r="C1113" s="3"/>
    </row>
    <row r="1114" customFormat="false" ht="15.75" hidden="false" customHeight="false" outlineLevel="0" collapsed="false">
      <c r="A1114" s="4"/>
      <c r="B1114" s="3"/>
      <c r="C1114" s="3"/>
    </row>
    <row r="1115" customFormat="false" ht="15.75" hidden="false" customHeight="false" outlineLevel="0" collapsed="false">
      <c r="A1115" s="4"/>
      <c r="B1115" s="3"/>
      <c r="C1115" s="3"/>
    </row>
    <row r="1116" customFormat="false" ht="15.75" hidden="false" customHeight="false" outlineLevel="0" collapsed="false">
      <c r="A1116" s="4"/>
      <c r="B1116" s="3"/>
      <c r="C1116" s="3"/>
    </row>
    <row r="1117" customFormat="false" ht="15.75" hidden="false" customHeight="false" outlineLevel="0" collapsed="false">
      <c r="A1117" s="4"/>
      <c r="B1117" s="3"/>
      <c r="C1117" s="3"/>
    </row>
    <row r="1118" customFormat="false" ht="15.75" hidden="false" customHeight="false" outlineLevel="0" collapsed="false">
      <c r="A1118" s="4"/>
      <c r="B1118" s="3"/>
      <c r="C1118" s="3"/>
    </row>
    <row r="1119" customFormat="false" ht="15.75" hidden="false" customHeight="false" outlineLevel="0" collapsed="false">
      <c r="A1119" s="4"/>
      <c r="B1119" s="3"/>
      <c r="C1119" s="3"/>
    </row>
    <row r="1120" customFormat="false" ht="15.75" hidden="false" customHeight="false" outlineLevel="0" collapsed="false">
      <c r="A1120" s="4"/>
      <c r="B1120" s="3"/>
      <c r="C1120" s="3"/>
    </row>
    <row r="1121" customFormat="false" ht="15.75" hidden="false" customHeight="false" outlineLevel="0" collapsed="false">
      <c r="A1121" s="4"/>
      <c r="B1121" s="3"/>
      <c r="C1121" s="3"/>
    </row>
    <row r="1122" customFormat="false" ht="15.75" hidden="false" customHeight="false" outlineLevel="0" collapsed="false">
      <c r="A1122" s="4"/>
      <c r="B1122" s="3"/>
      <c r="C1122" s="3"/>
    </row>
    <row r="1123" customFormat="false" ht="15.75" hidden="false" customHeight="false" outlineLevel="0" collapsed="false">
      <c r="A1123" s="4"/>
      <c r="B1123" s="3"/>
      <c r="C1123" s="3"/>
    </row>
    <row r="1124" customFormat="false" ht="15.75" hidden="false" customHeight="false" outlineLevel="0" collapsed="false">
      <c r="A1124" s="4"/>
      <c r="B1124" s="3"/>
      <c r="C1124" s="3"/>
    </row>
    <row r="1125" customFormat="false" ht="15.75" hidden="false" customHeight="false" outlineLevel="0" collapsed="false">
      <c r="A1125" s="4"/>
      <c r="B1125" s="3"/>
      <c r="C1125" s="3"/>
    </row>
    <row r="1126" customFormat="false" ht="15.75" hidden="false" customHeight="false" outlineLevel="0" collapsed="false">
      <c r="A1126" s="4"/>
      <c r="B1126" s="3"/>
      <c r="C1126" s="3"/>
    </row>
    <row r="1127" customFormat="false" ht="15.75" hidden="false" customHeight="false" outlineLevel="0" collapsed="false">
      <c r="A1127" s="4"/>
      <c r="B1127" s="3"/>
      <c r="C1127" s="3"/>
    </row>
    <row r="1128" customFormat="false" ht="15.75" hidden="false" customHeight="false" outlineLevel="0" collapsed="false">
      <c r="A1128" s="4"/>
      <c r="B1128" s="3"/>
      <c r="C1128" s="3"/>
    </row>
    <row r="1129" customFormat="false" ht="15.75" hidden="false" customHeight="false" outlineLevel="0" collapsed="false">
      <c r="A1129" s="4"/>
      <c r="B1129" s="3"/>
      <c r="C1129" s="3"/>
    </row>
    <row r="1130" customFormat="false" ht="15.75" hidden="false" customHeight="false" outlineLevel="0" collapsed="false">
      <c r="A1130" s="4"/>
      <c r="B1130" s="3"/>
      <c r="C1130" s="3"/>
    </row>
    <row r="1131" customFormat="false" ht="15.75" hidden="false" customHeight="false" outlineLevel="0" collapsed="false">
      <c r="A1131" s="4"/>
      <c r="B1131" s="3"/>
      <c r="C1131" s="3"/>
    </row>
    <row r="1132" customFormat="false" ht="15.75" hidden="false" customHeight="false" outlineLevel="0" collapsed="false">
      <c r="A1132" s="4"/>
      <c r="B1132" s="3"/>
      <c r="C1132" s="3"/>
    </row>
    <row r="1133" customFormat="false" ht="15.75" hidden="false" customHeight="false" outlineLevel="0" collapsed="false">
      <c r="A1133" s="4"/>
      <c r="B1133" s="3"/>
      <c r="C1133" s="3"/>
    </row>
    <row r="1134" customFormat="false" ht="15.75" hidden="false" customHeight="false" outlineLevel="0" collapsed="false">
      <c r="A1134" s="4"/>
      <c r="B1134" s="3"/>
      <c r="C1134" s="3"/>
    </row>
    <row r="1135" customFormat="false" ht="15.75" hidden="false" customHeight="false" outlineLevel="0" collapsed="false">
      <c r="A1135" s="4"/>
      <c r="B1135" s="3"/>
      <c r="C1135" s="3"/>
    </row>
    <row r="1136" customFormat="false" ht="15.75" hidden="false" customHeight="false" outlineLevel="0" collapsed="false">
      <c r="A1136" s="4"/>
      <c r="B1136" s="3"/>
      <c r="C1136" s="3"/>
    </row>
    <row r="1137" customFormat="false" ht="15.75" hidden="false" customHeight="false" outlineLevel="0" collapsed="false">
      <c r="A1137" s="4"/>
      <c r="B1137" s="3"/>
      <c r="C1137" s="3"/>
    </row>
    <row r="1138" customFormat="false" ht="15.75" hidden="false" customHeight="false" outlineLevel="0" collapsed="false">
      <c r="A1138" s="4"/>
      <c r="B1138" s="3"/>
      <c r="C1138" s="3"/>
    </row>
    <row r="1139" customFormat="false" ht="15.75" hidden="false" customHeight="false" outlineLevel="0" collapsed="false">
      <c r="A1139" s="4"/>
      <c r="B1139" s="3"/>
      <c r="C1139" s="3"/>
    </row>
    <row r="1140" customFormat="false" ht="15.75" hidden="false" customHeight="false" outlineLevel="0" collapsed="false">
      <c r="A1140" s="4"/>
      <c r="B1140" s="3"/>
      <c r="C1140" s="3"/>
    </row>
    <row r="1141" customFormat="false" ht="15.75" hidden="false" customHeight="false" outlineLevel="0" collapsed="false">
      <c r="A1141" s="4"/>
      <c r="B1141" s="3"/>
      <c r="C1141" s="3"/>
    </row>
    <row r="1142" customFormat="false" ht="15.75" hidden="false" customHeight="false" outlineLevel="0" collapsed="false">
      <c r="A1142" s="4"/>
      <c r="B1142" s="3"/>
      <c r="C1142" s="3"/>
    </row>
    <row r="1143" customFormat="false" ht="15.75" hidden="false" customHeight="false" outlineLevel="0" collapsed="false">
      <c r="A1143" s="4"/>
      <c r="B1143" s="3"/>
      <c r="C1143" s="3"/>
    </row>
    <row r="1144" customFormat="false" ht="15.75" hidden="false" customHeight="false" outlineLevel="0" collapsed="false">
      <c r="A1144" s="4"/>
      <c r="B1144" s="3"/>
      <c r="C1144" s="3"/>
    </row>
    <row r="1145" customFormat="false" ht="15.75" hidden="false" customHeight="false" outlineLevel="0" collapsed="false">
      <c r="A1145" s="4"/>
      <c r="B1145" s="3"/>
      <c r="C1145" s="3"/>
    </row>
    <row r="1146" customFormat="false" ht="15.75" hidden="false" customHeight="false" outlineLevel="0" collapsed="false">
      <c r="A1146" s="4"/>
      <c r="B1146" s="3"/>
      <c r="C1146" s="3"/>
    </row>
    <row r="1147" customFormat="false" ht="15.75" hidden="false" customHeight="false" outlineLevel="0" collapsed="false">
      <c r="A1147" s="4"/>
      <c r="B1147" s="3"/>
      <c r="C1147" s="3"/>
    </row>
    <row r="1148" customFormat="false" ht="15.75" hidden="false" customHeight="false" outlineLevel="0" collapsed="false">
      <c r="A1148" s="4"/>
      <c r="B1148" s="3"/>
      <c r="C1148" s="3"/>
    </row>
    <row r="1149" customFormat="false" ht="15.75" hidden="false" customHeight="false" outlineLevel="0" collapsed="false">
      <c r="A1149" s="4"/>
      <c r="B1149" s="3"/>
      <c r="C1149" s="3"/>
    </row>
    <row r="1150" customFormat="false" ht="15.75" hidden="false" customHeight="false" outlineLevel="0" collapsed="false">
      <c r="A1150" s="4"/>
      <c r="B1150" s="3"/>
      <c r="C1150" s="3"/>
    </row>
    <row r="1151" customFormat="false" ht="15.75" hidden="false" customHeight="false" outlineLevel="0" collapsed="false">
      <c r="A1151" s="4"/>
      <c r="B1151" s="3"/>
      <c r="C1151" s="3"/>
    </row>
    <row r="1152" customFormat="false" ht="15.75" hidden="false" customHeight="false" outlineLevel="0" collapsed="false">
      <c r="A1152" s="4"/>
      <c r="B1152" s="3"/>
      <c r="C1152" s="3"/>
    </row>
    <row r="1153" customFormat="false" ht="15.75" hidden="false" customHeight="false" outlineLevel="0" collapsed="false">
      <c r="A1153" s="4"/>
      <c r="B1153" s="3"/>
      <c r="C1153" s="3"/>
    </row>
    <row r="1154" customFormat="false" ht="15.75" hidden="false" customHeight="false" outlineLevel="0" collapsed="false">
      <c r="A1154" s="4"/>
      <c r="B1154" s="3"/>
      <c r="C1154" s="3"/>
    </row>
    <row r="1155" customFormat="false" ht="15.75" hidden="false" customHeight="false" outlineLevel="0" collapsed="false">
      <c r="A1155" s="4"/>
      <c r="B1155" s="3"/>
      <c r="C1155" s="3"/>
    </row>
    <row r="1156" customFormat="false" ht="15.75" hidden="false" customHeight="false" outlineLevel="0" collapsed="false">
      <c r="A1156" s="4"/>
      <c r="B1156" s="3"/>
      <c r="C1156" s="3"/>
    </row>
    <row r="1157" customFormat="false" ht="15.75" hidden="false" customHeight="false" outlineLevel="0" collapsed="false">
      <c r="A1157" s="4"/>
      <c r="B1157" s="3"/>
      <c r="C1157" s="3"/>
    </row>
    <row r="1158" customFormat="false" ht="15.75" hidden="false" customHeight="false" outlineLevel="0" collapsed="false">
      <c r="A1158" s="4"/>
      <c r="B1158" s="3"/>
      <c r="C1158" s="3"/>
    </row>
    <row r="1159" customFormat="false" ht="15.75" hidden="false" customHeight="false" outlineLevel="0" collapsed="false">
      <c r="A1159" s="4"/>
      <c r="B1159" s="3"/>
      <c r="C1159" s="3"/>
    </row>
    <row r="1160" customFormat="false" ht="15.75" hidden="false" customHeight="false" outlineLevel="0" collapsed="false">
      <c r="A1160" s="4"/>
      <c r="B1160" s="3"/>
      <c r="C1160" s="3"/>
    </row>
    <row r="1161" customFormat="false" ht="15.75" hidden="false" customHeight="false" outlineLevel="0" collapsed="false">
      <c r="A1161" s="4"/>
      <c r="B1161" s="3"/>
      <c r="C1161" s="3"/>
    </row>
    <row r="1162" customFormat="false" ht="15.75" hidden="false" customHeight="false" outlineLevel="0" collapsed="false">
      <c r="A1162" s="4"/>
      <c r="B1162" s="3"/>
      <c r="C1162" s="3"/>
    </row>
    <row r="1163" customFormat="false" ht="15.75" hidden="false" customHeight="false" outlineLevel="0" collapsed="false">
      <c r="A1163" s="4"/>
      <c r="B1163" s="3"/>
      <c r="C1163" s="3"/>
    </row>
    <row r="1164" customFormat="false" ht="15.75" hidden="false" customHeight="false" outlineLevel="0" collapsed="false">
      <c r="A1164" s="4"/>
      <c r="B1164" s="3"/>
      <c r="C1164" s="3"/>
    </row>
    <row r="1165" customFormat="false" ht="15.75" hidden="false" customHeight="false" outlineLevel="0" collapsed="false">
      <c r="A1165" s="4"/>
      <c r="B1165" s="3"/>
      <c r="C1165" s="3"/>
    </row>
    <row r="1166" customFormat="false" ht="15.75" hidden="false" customHeight="false" outlineLevel="0" collapsed="false">
      <c r="A1166" s="4"/>
      <c r="B1166" s="3"/>
      <c r="C1166" s="3"/>
    </row>
    <row r="1167" customFormat="false" ht="15.75" hidden="false" customHeight="false" outlineLevel="0" collapsed="false">
      <c r="A1167" s="4"/>
      <c r="B1167" s="3"/>
      <c r="C1167" s="3"/>
    </row>
    <row r="1168" customFormat="false" ht="15.75" hidden="false" customHeight="false" outlineLevel="0" collapsed="false">
      <c r="A1168" s="4"/>
      <c r="B1168" s="3"/>
      <c r="C1168" s="3"/>
    </row>
    <row r="1169" customFormat="false" ht="15.75" hidden="false" customHeight="false" outlineLevel="0" collapsed="false">
      <c r="A1169" s="4"/>
      <c r="B1169" s="3"/>
      <c r="C1169" s="3"/>
    </row>
    <row r="1170" customFormat="false" ht="15.75" hidden="false" customHeight="false" outlineLevel="0" collapsed="false">
      <c r="A1170" s="4"/>
      <c r="B1170" s="3"/>
      <c r="C1170" s="3"/>
    </row>
    <row r="1171" customFormat="false" ht="15.75" hidden="false" customHeight="false" outlineLevel="0" collapsed="false">
      <c r="A1171" s="4"/>
      <c r="B1171" s="3"/>
      <c r="C1171" s="3"/>
    </row>
    <row r="1172" customFormat="false" ht="15.75" hidden="false" customHeight="false" outlineLevel="0" collapsed="false">
      <c r="A1172" s="4"/>
      <c r="B1172" s="3"/>
      <c r="C1172" s="3"/>
    </row>
    <row r="1173" customFormat="false" ht="15.75" hidden="false" customHeight="false" outlineLevel="0" collapsed="false">
      <c r="A1173" s="4"/>
      <c r="B1173" s="3"/>
      <c r="C1173" s="3"/>
    </row>
    <row r="1174" customFormat="false" ht="15.75" hidden="false" customHeight="false" outlineLevel="0" collapsed="false">
      <c r="A1174" s="4"/>
      <c r="B1174" s="3"/>
      <c r="C1174" s="3"/>
    </row>
    <row r="1175" customFormat="false" ht="15.75" hidden="false" customHeight="false" outlineLevel="0" collapsed="false">
      <c r="A1175" s="4"/>
      <c r="B1175" s="3"/>
      <c r="C1175" s="3"/>
    </row>
    <row r="1176" customFormat="false" ht="15.75" hidden="false" customHeight="false" outlineLevel="0" collapsed="false">
      <c r="A1176" s="4"/>
      <c r="B1176" s="3"/>
      <c r="C1176" s="3"/>
    </row>
    <row r="1177" customFormat="false" ht="15.75" hidden="false" customHeight="false" outlineLevel="0" collapsed="false">
      <c r="A1177" s="4"/>
      <c r="B1177" s="3"/>
      <c r="C1177" s="3"/>
    </row>
    <row r="1178" customFormat="false" ht="15.75" hidden="false" customHeight="false" outlineLevel="0" collapsed="false">
      <c r="A1178" s="4"/>
      <c r="B1178" s="3"/>
      <c r="C1178" s="3"/>
    </row>
    <row r="1179" customFormat="false" ht="15.75" hidden="false" customHeight="false" outlineLevel="0" collapsed="false">
      <c r="A1179" s="4"/>
      <c r="B1179" s="3"/>
      <c r="C1179" s="3"/>
    </row>
    <row r="1180" customFormat="false" ht="15.75" hidden="false" customHeight="false" outlineLevel="0" collapsed="false">
      <c r="A1180" s="4"/>
      <c r="B1180" s="3"/>
      <c r="C1180" s="3"/>
    </row>
    <row r="1181" customFormat="false" ht="15.75" hidden="false" customHeight="false" outlineLevel="0" collapsed="false">
      <c r="A1181" s="4"/>
      <c r="B1181" s="3"/>
      <c r="C1181" s="3"/>
    </row>
    <row r="1182" customFormat="false" ht="15.75" hidden="false" customHeight="false" outlineLevel="0" collapsed="false">
      <c r="A1182" s="4"/>
      <c r="B1182" s="3"/>
      <c r="C1182" s="3"/>
    </row>
    <row r="1183" customFormat="false" ht="15.75" hidden="false" customHeight="false" outlineLevel="0" collapsed="false">
      <c r="A1183" s="4"/>
      <c r="B1183" s="3"/>
      <c r="C1183" s="3"/>
    </row>
    <row r="1184" customFormat="false" ht="15.75" hidden="false" customHeight="false" outlineLevel="0" collapsed="false">
      <c r="A1184" s="4"/>
      <c r="B1184" s="3"/>
      <c r="C1184" s="3"/>
    </row>
    <row r="1185" customFormat="false" ht="15.75" hidden="false" customHeight="false" outlineLevel="0" collapsed="false">
      <c r="A1185" s="4"/>
      <c r="B1185" s="3"/>
      <c r="C1185" s="3"/>
    </row>
    <row r="1186" customFormat="false" ht="15.75" hidden="false" customHeight="false" outlineLevel="0" collapsed="false">
      <c r="A1186" s="4"/>
      <c r="B1186" s="3"/>
      <c r="C1186" s="3"/>
    </row>
    <row r="1187" customFormat="false" ht="15.75" hidden="false" customHeight="false" outlineLevel="0" collapsed="false">
      <c r="A1187" s="4"/>
      <c r="B1187" s="3"/>
      <c r="C1187" s="3"/>
    </row>
    <row r="1188" customFormat="false" ht="15.75" hidden="false" customHeight="false" outlineLevel="0" collapsed="false">
      <c r="A1188" s="4"/>
      <c r="B1188" s="3"/>
      <c r="C1188" s="3"/>
    </row>
    <row r="1189" customFormat="false" ht="15.75" hidden="false" customHeight="false" outlineLevel="0" collapsed="false">
      <c r="A1189" s="4"/>
      <c r="B1189" s="3"/>
      <c r="C1189" s="3"/>
    </row>
    <row r="1190" customFormat="false" ht="15.75" hidden="false" customHeight="false" outlineLevel="0" collapsed="false">
      <c r="A1190" s="4"/>
      <c r="B1190" s="3"/>
      <c r="C1190" s="3"/>
    </row>
    <row r="1191" customFormat="false" ht="15.75" hidden="false" customHeight="false" outlineLevel="0" collapsed="false">
      <c r="A1191" s="4"/>
      <c r="B1191" s="3"/>
      <c r="C1191" s="3"/>
    </row>
    <row r="1192" customFormat="false" ht="15.75" hidden="false" customHeight="false" outlineLevel="0" collapsed="false">
      <c r="A1192" s="4"/>
      <c r="B1192" s="3"/>
      <c r="C1192" s="3"/>
    </row>
    <row r="1193" customFormat="false" ht="15.75" hidden="false" customHeight="false" outlineLevel="0" collapsed="false">
      <c r="A1193" s="4"/>
      <c r="B1193" s="3"/>
      <c r="C1193" s="3"/>
    </row>
    <row r="1194" customFormat="false" ht="15.75" hidden="false" customHeight="false" outlineLevel="0" collapsed="false">
      <c r="A1194" s="4"/>
      <c r="B1194" s="3"/>
      <c r="C1194" s="3"/>
    </row>
    <row r="1195" customFormat="false" ht="15.75" hidden="false" customHeight="false" outlineLevel="0" collapsed="false">
      <c r="A1195" s="4"/>
      <c r="B1195" s="3"/>
      <c r="C1195" s="3"/>
    </row>
    <row r="1196" customFormat="false" ht="15.75" hidden="false" customHeight="false" outlineLevel="0" collapsed="false">
      <c r="A1196" s="4"/>
      <c r="B1196" s="3"/>
      <c r="C1196" s="3"/>
    </row>
    <row r="1197" customFormat="false" ht="15.75" hidden="false" customHeight="false" outlineLevel="0" collapsed="false">
      <c r="A1197" s="4"/>
      <c r="B1197" s="3"/>
      <c r="C1197" s="3"/>
    </row>
    <row r="1198" customFormat="false" ht="15.75" hidden="false" customHeight="false" outlineLevel="0" collapsed="false">
      <c r="A1198" s="4"/>
      <c r="B1198" s="3"/>
      <c r="C1198" s="3"/>
    </row>
    <row r="1199" customFormat="false" ht="15.75" hidden="false" customHeight="false" outlineLevel="0" collapsed="false">
      <c r="A1199" s="4"/>
      <c r="B1199" s="3"/>
      <c r="C1199" s="3"/>
    </row>
    <row r="1200" customFormat="false" ht="15.75" hidden="false" customHeight="false" outlineLevel="0" collapsed="false">
      <c r="A1200" s="4"/>
      <c r="B1200" s="3"/>
      <c r="C1200" s="3"/>
    </row>
    <row r="1201" customFormat="false" ht="15.75" hidden="false" customHeight="false" outlineLevel="0" collapsed="false">
      <c r="A1201" s="4"/>
      <c r="B1201" s="3"/>
      <c r="C1201" s="3"/>
    </row>
    <row r="1202" customFormat="false" ht="15.75" hidden="false" customHeight="false" outlineLevel="0" collapsed="false">
      <c r="A1202" s="4"/>
      <c r="B1202" s="3"/>
      <c r="C1202" s="3"/>
    </row>
    <row r="1203" customFormat="false" ht="15.75" hidden="false" customHeight="false" outlineLevel="0" collapsed="false">
      <c r="A1203" s="4"/>
      <c r="B1203" s="3"/>
      <c r="C1203" s="3"/>
    </row>
    <row r="1204" customFormat="false" ht="15.75" hidden="false" customHeight="false" outlineLevel="0" collapsed="false">
      <c r="A1204" s="4"/>
      <c r="B1204" s="3"/>
      <c r="C1204" s="3"/>
    </row>
    <row r="1205" customFormat="false" ht="15.75" hidden="false" customHeight="false" outlineLevel="0" collapsed="false">
      <c r="A1205" s="4"/>
      <c r="B1205" s="3"/>
      <c r="C1205" s="3"/>
    </row>
    <row r="1206" customFormat="false" ht="15.75" hidden="false" customHeight="false" outlineLevel="0" collapsed="false">
      <c r="A1206" s="4"/>
      <c r="B1206" s="3"/>
      <c r="C1206" s="3"/>
    </row>
    <row r="1207" customFormat="false" ht="15.75" hidden="false" customHeight="false" outlineLevel="0" collapsed="false">
      <c r="A1207" s="4"/>
      <c r="B1207" s="3"/>
      <c r="C1207" s="3"/>
    </row>
    <row r="1208" customFormat="false" ht="15.75" hidden="false" customHeight="false" outlineLevel="0" collapsed="false">
      <c r="A1208" s="4"/>
      <c r="B1208" s="3"/>
      <c r="C1208" s="3"/>
    </row>
    <row r="1209" customFormat="false" ht="15.75" hidden="false" customHeight="false" outlineLevel="0" collapsed="false">
      <c r="A1209" s="4"/>
      <c r="B1209" s="3"/>
      <c r="C1209" s="3"/>
    </row>
    <row r="1210" customFormat="false" ht="15.75" hidden="false" customHeight="false" outlineLevel="0" collapsed="false">
      <c r="A1210" s="4"/>
      <c r="B1210" s="3"/>
      <c r="C1210" s="3"/>
    </row>
    <row r="1211" customFormat="false" ht="15.75" hidden="false" customHeight="false" outlineLevel="0" collapsed="false">
      <c r="A1211" s="4"/>
      <c r="B1211" s="3"/>
      <c r="C1211" s="3"/>
    </row>
    <row r="1212" customFormat="false" ht="15.75" hidden="false" customHeight="false" outlineLevel="0" collapsed="false">
      <c r="A1212" s="4"/>
      <c r="B1212" s="3"/>
      <c r="C1212" s="3"/>
    </row>
    <row r="1213" customFormat="false" ht="15.75" hidden="false" customHeight="false" outlineLevel="0" collapsed="false">
      <c r="A1213" s="4"/>
      <c r="B1213" s="3"/>
      <c r="C1213" s="3"/>
    </row>
    <row r="1214" customFormat="false" ht="15.75" hidden="false" customHeight="false" outlineLevel="0" collapsed="false">
      <c r="A1214" s="4"/>
      <c r="B1214" s="3"/>
      <c r="C1214" s="3"/>
    </row>
    <row r="1215" customFormat="false" ht="15.75" hidden="false" customHeight="false" outlineLevel="0" collapsed="false">
      <c r="A1215" s="4"/>
      <c r="B1215" s="3"/>
      <c r="C1215" s="3"/>
    </row>
    <row r="1216" customFormat="false" ht="15.75" hidden="false" customHeight="false" outlineLevel="0" collapsed="false">
      <c r="A1216" s="4"/>
      <c r="B1216" s="3"/>
      <c r="C1216" s="3"/>
    </row>
    <row r="1217" customFormat="false" ht="15.75" hidden="false" customHeight="false" outlineLevel="0" collapsed="false">
      <c r="A1217" s="4"/>
      <c r="B1217" s="3"/>
      <c r="C1217" s="3"/>
    </row>
    <row r="1218" customFormat="false" ht="15.75" hidden="false" customHeight="false" outlineLevel="0" collapsed="false">
      <c r="A1218" s="4"/>
      <c r="B1218" s="3"/>
      <c r="C1218" s="3"/>
    </row>
    <row r="1219" customFormat="false" ht="15.75" hidden="false" customHeight="false" outlineLevel="0" collapsed="false">
      <c r="A1219" s="4"/>
      <c r="B1219" s="3"/>
      <c r="C1219" s="3"/>
    </row>
    <row r="1220" customFormat="false" ht="15.75" hidden="false" customHeight="false" outlineLevel="0" collapsed="false">
      <c r="A1220" s="4"/>
      <c r="B1220" s="3"/>
      <c r="C1220" s="3"/>
    </row>
    <row r="1221" customFormat="false" ht="15.75" hidden="false" customHeight="false" outlineLevel="0" collapsed="false">
      <c r="A1221" s="4"/>
      <c r="B1221" s="3"/>
      <c r="C1221" s="3"/>
    </row>
    <row r="1222" customFormat="false" ht="15.75" hidden="false" customHeight="false" outlineLevel="0" collapsed="false">
      <c r="A1222" s="4"/>
      <c r="B1222" s="3"/>
      <c r="C1222" s="3"/>
    </row>
    <row r="1223" customFormat="false" ht="15.75" hidden="false" customHeight="false" outlineLevel="0" collapsed="false">
      <c r="A1223" s="4"/>
      <c r="B1223" s="3"/>
      <c r="C1223" s="3"/>
    </row>
    <row r="1224" customFormat="false" ht="15.75" hidden="false" customHeight="false" outlineLevel="0" collapsed="false">
      <c r="A1224" s="4"/>
      <c r="B1224" s="3"/>
      <c r="C1224" s="3"/>
    </row>
    <row r="1225" customFormat="false" ht="15.75" hidden="false" customHeight="false" outlineLevel="0" collapsed="false">
      <c r="A1225" s="4"/>
      <c r="B1225" s="3"/>
      <c r="C1225" s="3"/>
    </row>
    <row r="1226" customFormat="false" ht="15.75" hidden="false" customHeight="false" outlineLevel="0" collapsed="false">
      <c r="A1226" s="4"/>
      <c r="B1226" s="3"/>
      <c r="C1226" s="3"/>
    </row>
    <row r="1227" customFormat="false" ht="15.75" hidden="false" customHeight="false" outlineLevel="0" collapsed="false">
      <c r="A1227" s="4"/>
      <c r="B1227" s="3"/>
      <c r="C1227" s="3"/>
    </row>
    <row r="1228" customFormat="false" ht="15.75" hidden="false" customHeight="false" outlineLevel="0" collapsed="false">
      <c r="A1228" s="4"/>
      <c r="B1228" s="3"/>
      <c r="C1228" s="3"/>
    </row>
    <row r="1229" customFormat="false" ht="15.75" hidden="false" customHeight="false" outlineLevel="0" collapsed="false">
      <c r="A1229" s="4"/>
      <c r="B1229" s="3"/>
      <c r="C1229" s="3"/>
    </row>
    <row r="1230" customFormat="false" ht="15.75" hidden="false" customHeight="false" outlineLevel="0" collapsed="false">
      <c r="A1230" s="4"/>
      <c r="B1230" s="3"/>
      <c r="C1230" s="3"/>
    </row>
    <row r="1231" customFormat="false" ht="15.75" hidden="false" customHeight="false" outlineLevel="0" collapsed="false">
      <c r="A1231" s="4"/>
      <c r="B1231" s="3"/>
      <c r="C1231" s="3"/>
    </row>
    <row r="1232" customFormat="false" ht="15.75" hidden="false" customHeight="false" outlineLevel="0" collapsed="false">
      <c r="A1232" s="4"/>
      <c r="B1232" s="3"/>
      <c r="C1232" s="3"/>
    </row>
    <row r="1233" customFormat="false" ht="15.75" hidden="false" customHeight="false" outlineLevel="0" collapsed="false">
      <c r="A1233" s="4"/>
      <c r="B1233" s="3"/>
      <c r="C1233" s="3"/>
    </row>
    <row r="1234" customFormat="false" ht="15.75" hidden="false" customHeight="false" outlineLevel="0" collapsed="false">
      <c r="B1234" s="3"/>
      <c r="C1234" s="3"/>
    </row>
    <row r="1235" customFormat="false" ht="15.75" hidden="false" customHeight="false" outlineLevel="0" collapsed="false">
      <c r="B1235" s="3"/>
      <c r="C1235" s="3"/>
    </row>
    <row r="1236" customFormat="false" ht="15.75" hidden="false" customHeight="false" outlineLevel="0" collapsed="false">
      <c r="B1236" s="3"/>
      <c r="C1236" s="3"/>
    </row>
    <row r="1237" customFormat="false" ht="15.75" hidden="false" customHeight="false" outlineLevel="0" collapsed="false">
      <c r="B1237" s="3"/>
      <c r="C1237" s="3"/>
    </row>
    <row r="1238" customFormat="false" ht="15.75" hidden="false" customHeight="false" outlineLevel="0" collapsed="false">
      <c r="B1238" s="3"/>
      <c r="C1238" s="3"/>
    </row>
    <row r="1239" customFormat="false" ht="15.75" hidden="false" customHeight="false" outlineLevel="0" collapsed="false">
      <c r="B1239" s="3"/>
      <c r="C1239" s="3"/>
    </row>
    <row r="1240" customFormat="false" ht="15.75" hidden="false" customHeight="false" outlineLevel="0" collapsed="false">
      <c r="B1240" s="3"/>
      <c r="C1240" s="3"/>
    </row>
    <row r="1241" customFormat="false" ht="15.75" hidden="false" customHeight="false" outlineLevel="0" collapsed="false">
      <c r="B1241" s="3"/>
      <c r="C1241" s="3"/>
    </row>
    <row r="1242" customFormat="false" ht="15.75" hidden="false" customHeight="false" outlineLevel="0" collapsed="false">
      <c r="B1242" s="3"/>
      <c r="C1242" s="3"/>
    </row>
    <row r="1243" customFormat="false" ht="15.75" hidden="false" customHeight="false" outlineLevel="0" collapsed="false">
      <c r="B1243" s="3"/>
      <c r="C1243" s="3"/>
    </row>
    <row r="1244" customFormat="false" ht="15.75" hidden="false" customHeight="false" outlineLevel="0" collapsed="false">
      <c r="B1244" s="3"/>
      <c r="C1244" s="3"/>
    </row>
    <row r="1245" customFormat="false" ht="15.75" hidden="false" customHeight="false" outlineLevel="0" collapsed="false">
      <c r="B1245" s="3"/>
      <c r="C1245" s="3"/>
    </row>
    <row r="1246" customFormat="false" ht="15.75" hidden="false" customHeight="false" outlineLevel="0" collapsed="false">
      <c r="B1246" s="3"/>
      <c r="C1246" s="3"/>
    </row>
    <row r="1247" customFormat="false" ht="15.75" hidden="false" customHeight="false" outlineLevel="0" collapsed="false">
      <c r="B1247" s="3"/>
      <c r="C1247" s="3"/>
    </row>
    <row r="1248" customFormat="false" ht="15.75" hidden="false" customHeight="false" outlineLevel="0" collapsed="false">
      <c r="B1248" s="3"/>
      <c r="C1248" s="3"/>
    </row>
    <row r="1249" customFormat="false" ht="15.75" hidden="false" customHeight="false" outlineLevel="0" collapsed="false">
      <c r="B1249" s="3"/>
      <c r="C1249" s="3"/>
    </row>
    <row r="1250" customFormat="false" ht="15.75" hidden="false" customHeight="false" outlineLevel="0" collapsed="false">
      <c r="B1250" s="3"/>
      <c r="C1250" s="3"/>
    </row>
    <row r="1251" customFormat="false" ht="15.75" hidden="false" customHeight="false" outlineLevel="0" collapsed="false">
      <c r="B1251" s="3"/>
      <c r="C1251" s="3"/>
    </row>
    <row r="1252" customFormat="false" ht="15.75" hidden="false" customHeight="false" outlineLevel="0" collapsed="false">
      <c r="B1252" s="3"/>
      <c r="C1252" s="3"/>
    </row>
    <row r="1253" customFormat="false" ht="15.75" hidden="false" customHeight="false" outlineLevel="0" collapsed="false">
      <c r="B1253" s="3"/>
      <c r="C1253" s="3"/>
    </row>
    <row r="1254" customFormat="false" ht="15.75" hidden="false" customHeight="false" outlineLevel="0" collapsed="false">
      <c r="B1254" s="3"/>
      <c r="C1254" s="3"/>
    </row>
    <row r="1255" customFormat="false" ht="15.75" hidden="false" customHeight="false" outlineLevel="0" collapsed="false">
      <c r="B1255" s="3"/>
      <c r="C1255" s="3"/>
    </row>
    <row r="1256" customFormat="false" ht="15.75" hidden="false" customHeight="false" outlineLevel="0" collapsed="false">
      <c r="B1256" s="3"/>
      <c r="C1256" s="3"/>
    </row>
    <row r="1257" customFormat="false" ht="15.75" hidden="false" customHeight="false" outlineLevel="0" collapsed="false">
      <c r="B1257" s="3"/>
      <c r="C1257" s="3"/>
    </row>
    <row r="1258" customFormat="false" ht="15.75" hidden="false" customHeight="false" outlineLevel="0" collapsed="false">
      <c r="B1258" s="3"/>
      <c r="C1258" s="3"/>
    </row>
    <row r="1259" customFormat="false" ht="15.75" hidden="false" customHeight="false" outlineLevel="0" collapsed="false">
      <c r="B1259" s="3"/>
      <c r="C1259" s="3"/>
    </row>
    <row r="1260" customFormat="false" ht="15.75" hidden="false" customHeight="false" outlineLevel="0" collapsed="false">
      <c r="B1260" s="3"/>
      <c r="C1260" s="3"/>
    </row>
    <row r="1261" customFormat="false" ht="15.75" hidden="false" customHeight="false" outlineLevel="0" collapsed="false">
      <c r="B1261" s="3"/>
      <c r="C1261" s="3"/>
    </row>
    <row r="1262" customFormat="false" ht="15.75" hidden="false" customHeight="false" outlineLevel="0" collapsed="false">
      <c r="B1262" s="3"/>
      <c r="C1262" s="3"/>
    </row>
    <row r="1263" customFormat="false" ht="15.75" hidden="false" customHeight="false" outlineLevel="0" collapsed="false">
      <c r="B1263" s="3"/>
      <c r="C1263" s="3"/>
    </row>
    <row r="1264" customFormat="false" ht="15.75" hidden="false" customHeight="false" outlineLevel="0" collapsed="false">
      <c r="B1264" s="3"/>
      <c r="C1264" s="3"/>
    </row>
    <row r="1265" customFormat="false" ht="15.75" hidden="false" customHeight="false" outlineLevel="0" collapsed="false">
      <c r="B1265" s="3"/>
      <c r="C1265" s="3"/>
    </row>
    <row r="1266" customFormat="false" ht="15.75" hidden="false" customHeight="false" outlineLevel="0" collapsed="false">
      <c r="B1266" s="3"/>
      <c r="C1266" s="3"/>
    </row>
    <row r="1267" customFormat="false" ht="15.75" hidden="false" customHeight="false" outlineLevel="0" collapsed="false">
      <c r="B1267" s="3"/>
      <c r="C1267" s="3"/>
    </row>
    <row r="1268" customFormat="false" ht="15.75" hidden="false" customHeight="false" outlineLevel="0" collapsed="false">
      <c r="B1268" s="3"/>
      <c r="C1268" s="3"/>
    </row>
    <row r="1269" customFormat="false" ht="15.75" hidden="false" customHeight="false" outlineLevel="0" collapsed="false">
      <c r="B1269" s="3"/>
      <c r="C1269" s="3"/>
    </row>
    <row r="1270" customFormat="false" ht="15.75" hidden="false" customHeight="false" outlineLevel="0" collapsed="false">
      <c r="B1270" s="3"/>
      <c r="C1270" s="3"/>
    </row>
    <row r="1271" customFormat="false" ht="15.75" hidden="false" customHeight="false" outlineLevel="0" collapsed="false">
      <c r="B1271" s="3"/>
      <c r="C1271" s="3"/>
    </row>
    <row r="1272" customFormat="false" ht="15.75" hidden="false" customHeight="false" outlineLevel="0" collapsed="false">
      <c r="B1272" s="3"/>
      <c r="C1272" s="3"/>
    </row>
    <row r="1273" customFormat="false" ht="15.75" hidden="false" customHeight="false" outlineLevel="0" collapsed="false">
      <c r="B1273" s="3"/>
      <c r="C1273" s="3"/>
    </row>
    <row r="1274" customFormat="false" ht="15.75" hidden="false" customHeight="false" outlineLevel="0" collapsed="false">
      <c r="B1274" s="3"/>
      <c r="C1274" s="3"/>
    </row>
    <row r="1275" customFormat="false" ht="15.75" hidden="false" customHeight="false" outlineLevel="0" collapsed="false">
      <c r="B1275" s="3"/>
      <c r="C1275" s="3"/>
    </row>
    <row r="1276" customFormat="false" ht="15.75" hidden="false" customHeight="false" outlineLevel="0" collapsed="false">
      <c r="B1276" s="3"/>
      <c r="C1276" s="3"/>
    </row>
    <row r="1277" customFormat="false" ht="15.75" hidden="false" customHeight="false" outlineLevel="0" collapsed="false">
      <c r="B1277" s="3"/>
      <c r="C1277" s="3"/>
    </row>
    <row r="1278" customFormat="false" ht="15.75" hidden="false" customHeight="false" outlineLevel="0" collapsed="false">
      <c r="B1278" s="3"/>
      <c r="C1278" s="3"/>
    </row>
    <row r="1279" customFormat="false" ht="15.75" hidden="false" customHeight="false" outlineLevel="0" collapsed="false">
      <c r="B1279" s="3"/>
      <c r="C1279" s="3"/>
    </row>
    <row r="1280" customFormat="false" ht="15.75" hidden="false" customHeight="false" outlineLevel="0" collapsed="false">
      <c r="B1280" s="3"/>
      <c r="C1280" s="3"/>
    </row>
    <row r="1281" customFormat="false" ht="15.75" hidden="false" customHeight="false" outlineLevel="0" collapsed="false">
      <c r="B1281" s="3"/>
      <c r="C1281" s="3"/>
    </row>
    <row r="1282" customFormat="false" ht="15.75" hidden="false" customHeight="false" outlineLevel="0" collapsed="false">
      <c r="B1282" s="3"/>
      <c r="C1282" s="3"/>
    </row>
    <row r="1283" customFormat="false" ht="15.75" hidden="false" customHeight="false" outlineLevel="0" collapsed="false">
      <c r="B1283" s="3"/>
      <c r="C1283" s="3"/>
    </row>
    <row r="1284" customFormat="false" ht="15.75" hidden="false" customHeight="false" outlineLevel="0" collapsed="false">
      <c r="B1284" s="3"/>
      <c r="C1284" s="3"/>
    </row>
    <row r="1285" customFormat="false" ht="15.75" hidden="false" customHeight="false" outlineLevel="0" collapsed="false">
      <c r="B1285" s="3"/>
      <c r="C1285" s="3"/>
    </row>
    <row r="1286" customFormat="false" ht="15.75" hidden="false" customHeight="false" outlineLevel="0" collapsed="false">
      <c r="B1286" s="3"/>
      <c r="C1286" s="3"/>
    </row>
    <row r="1287" customFormat="false" ht="15.75" hidden="false" customHeight="false" outlineLevel="0" collapsed="false">
      <c r="B1287" s="3"/>
      <c r="C1287" s="3"/>
    </row>
    <row r="1288" customFormat="false" ht="15.75" hidden="false" customHeight="false" outlineLevel="0" collapsed="false">
      <c r="B1288" s="3"/>
      <c r="C1288" s="3"/>
    </row>
    <row r="1289" customFormat="false" ht="15.75" hidden="false" customHeight="false" outlineLevel="0" collapsed="false">
      <c r="B1289" s="3"/>
      <c r="C1289" s="3"/>
    </row>
    <row r="1290" customFormat="false" ht="15.75" hidden="false" customHeight="false" outlineLevel="0" collapsed="false">
      <c r="B1290" s="3"/>
      <c r="C1290" s="3"/>
    </row>
    <row r="1291" customFormat="false" ht="15.75" hidden="false" customHeight="false" outlineLevel="0" collapsed="false">
      <c r="B1291" s="3"/>
      <c r="C1291" s="3"/>
    </row>
    <row r="1292" customFormat="false" ht="15.75" hidden="false" customHeight="false" outlineLevel="0" collapsed="false">
      <c r="B1292" s="3"/>
      <c r="C1292" s="3"/>
    </row>
    <row r="1293" customFormat="false" ht="15.75" hidden="false" customHeight="false" outlineLevel="0" collapsed="false">
      <c r="B1293" s="3"/>
      <c r="C1293" s="3"/>
    </row>
    <row r="1294" customFormat="false" ht="15.75" hidden="false" customHeight="false" outlineLevel="0" collapsed="false">
      <c r="B1294" s="3"/>
      <c r="C1294" s="3"/>
    </row>
    <row r="1295" customFormat="false" ht="15.75" hidden="false" customHeight="false" outlineLevel="0" collapsed="false">
      <c r="B1295" s="3"/>
      <c r="C1295" s="3"/>
    </row>
    <row r="1296" customFormat="false" ht="15.75" hidden="false" customHeight="false" outlineLevel="0" collapsed="false">
      <c r="B1296" s="3"/>
      <c r="C1296" s="3"/>
    </row>
    <row r="1297" customFormat="false" ht="15.75" hidden="false" customHeight="false" outlineLevel="0" collapsed="false">
      <c r="B1297" s="3"/>
      <c r="C1297" s="3"/>
    </row>
    <row r="1298" customFormat="false" ht="15.75" hidden="false" customHeight="false" outlineLevel="0" collapsed="false">
      <c r="B1298" s="3"/>
      <c r="C1298" s="3"/>
    </row>
    <row r="1299" customFormat="false" ht="15.75" hidden="false" customHeight="false" outlineLevel="0" collapsed="false">
      <c r="B1299" s="3"/>
      <c r="C1299" s="3"/>
    </row>
    <row r="1300" customFormat="false" ht="15.75" hidden="false" customHeight="false" outlineLevel="0" collapsed="false">
      <c r="B1300" s="3"/>
      <c r="C1300" s="3"/>
    </row>
    <row r="1301" customFormat="false" ht="15.75" hidden="false" customHeight="false" outlineLevel="0" collapsed="false">
      <c r="B1301" s="3"/>
      <c r="C1301" s="3"/>
    </row>
    <row r="1302" customFormat="false" ht="15.75" hidden="false" customHeight="false" outlineLevel="0" collapsed="false">
      <c r="B1302" s="3"/>
      <c r="C1302" s="3"/>
    </row>
    <row r="1303" customFormat="false" ht="15.75" hidden="false" customHeight="false" outlineLevel="0" collapsed="false">
      <c r="B1303" s="3"/>
      <c r="C1303" s="3"/>
    </row>
    <row r="1304" customFormat="false" ht="15.75" hidden="false" customHeight="false" outlineLevel="0" collapsed="false">
      <c r="B1304" s="3"/>
      <c r="C1304" s="3"/>
    </row>
    <row r="1305" customFormat="false" ht="15.75" hidden="false" customHeight="false" outlineLevel="0" collapsed="false">
      <c r="B1305" s="3"/>
      <c r="C1305" s="3"/>
    </row>
    <row r="1306" customFormat="false" ht="15.75" hidden="false" customHeight="false" outlineLevel="0" collapsed="false">
      <c r="B1306" s="3"/>
      <c r="C1306" s="3"/>
    </row>
    <row r="1307" customFormat="false" ht="15.75" hidden="false" customHeight="false" outlineLevel="0" collapsed="false">
      <c r="B1307" s="3"/>
      <c r="C1307" s="3"/>
    </row>
    <row r="1308" customFormat="false" ht="15.75" hidden="false" customHeight="false" outlineLevel="0" collapsed="false">
      <c r="B1308" s="3"/>
      <c r="C1308" s="3"/>
    </row>
    <row r="1309" customFormat="false" ht="15.75" hidden="false" customHeight="false" outlineLevel="0" collapsed="false">
      <c r="B1309" s="3"/>
      <c r="C1309" s="3"/>
    </row>
    <row r="1310" customFormat="false" ht="15.75" hidden="false" customHeight="false" outlineLevel="0" collapsed="false">
      <c r="B1310" s="3"/>
      <c r="C1310" s="3"/>
    </row>
    <row r="1311" customFormat="false" ht="15.75" hidden="false" customHeight="false" outlineLevel="0" collapsed="false">
      <c r="B1311" s="3"/>
      <c r="C1311" s="3"/>
    </row>
    <row r="1312" customFormat="false" ht="15.75" hidden="false" customHeight="false" outlineLevel="0" collapsed="false">
      <c r="B1312" s="3"/>
      <c r="C1312" s="3"/>
    </row>
    <row r="1313" customFormat="false" ht="15.75" hidden="false" customHeight="false" outlineLevel="0" collapsed="false">
      <c r="B1313" s="3"/>
      <c r="C1313" s="3"/>
    </row>
    <row r="1314" customFormat="false" ht="15.75" hidden="false" customHeight="false" outlineLevel="0" collapsed="false">
      <c r="B1314" s="3"/>
      <c r="C1314" s="3"/>
    </row>
    <row r="1315" customFormat="false" ht="15.75" hidden="false" customHeight="false" outlineLevel="0" collapsed="false">
      <c r="B1315" s="3"/>
      <c r="C1315" s="3"/>
    </row>
    <row r="1316" customFormat="false" ht="15.75" hidden="false" customHeight="false" outlineLevel="0" collapsed="false">
      <c r="B1316" s="3"/>
      <c r="C1316" s="3"/>
    </row>
    <row r="1317" customFormat="false" ht="15.75" hidden="false" customHeight="false" outlineLevel="0" collapsed="false">
      <c r="B1317" s="3"/>
      <c r="C1317" s="3"/>
    </row>
    <row r="1318" customFormat="false" ht="15.75" hidden="false" customHeight="false" outlineLevel="0" collapsed="false">
      <c r="B1318" s="3"/>
      <c r="C1318" s="3"/>
    </row>
    <row r="1319" customFormat="false" ht="15.75" hidden="false" customHeight="false" outlineLevel="0" collapsed="false">
      <c r="B1319" s="3"/>
      <c r="C1319" s="3"/>
    </row>
    <row r="1320" customFormat="false" ht="15.75" hidden="false" customHeight="false" outlineLevel="0" collapsed="false">
      <c r="B1320" s="3"/>
      <c r="C1320" s="3"/>
    </row>
    <row r="1321" customFormat="false" ht="15.75" hidden="false" customHeight="false" outlineLevel="0" collapsed="false">
      <c r="B1321" s="3"/>
      <c r="C1321" s="3"/>
    </row>
    <row r="1322" customFormat="false" ht="15.75" hidden="false" customHeight="false" outlineLevel="0" collapsed="false">
      <c r="B1322" s="3"/>
      <c r="C1322" s="3"/>
    </row>
    <row r="1323" customFormat="false" ht="15.75" hidden="false" customHeight="false" outlineLevel="0" collapsed="false">
      <c r="B1323" s="3"/>
      <c r="C1323" s="3"/>
    </row>
    <row r="1324" customFormat="false" ht="15.75" hidden="false" customHeight="false" outlineLevel="0" collapsed="false">
      <c r="B1324" s="3"/>
      <c r="C1324" s="3"/>
    </row>
    <row r="1325" customFormat="false" ht="15.75" hidden="false" customHeight="false" outlineLevel="0" collapsed="false">
      <c r="B1325" s="3"/>
      <c r="C1325" s="3"/>
    </row>
    <row r="1326" customFormat="false" ht="15.75" hidden="false" customHeight="false" outlineLevel="0" collapsed="false">
      <c r="B1326" s="3"/>
      <c r="C1326" s="3"/>
    </row>
    <row r="1327" customFormat="false" ht="15.75" hidden="false" customHeight="false" outlineLevel="0" collapsed="false">
      <c r="B1327" s="3"/>
      <c r="C1327" s="3"/>
    </row>
  </sheetData>
  <conditionalFormatting sqref="A352:A357">
    <cfRule type="expression" priority="2" aboveAverage="0" equalAverage="0" bottom="0" percent="0" rank="0" text="" dxfId="2">
      <formula>COUNTIF(B352:C423,A352)=0</formula>
    </cfRule>
  </conditionalFormatting>
  <conditionalFormatting sqref="C411">
    <cfRule type="expression" priority="3" aboveAverage="0" equalAverage="0" bottom="0" percent="0" rank="0" text="" dxfId="1">
      <formula>D411="YES"</formula>
    </cfRule>
  </conditionalFormatting>
  <conditionalFormatting sqref="A2:A468 A471:A1233">
    <cfRule type="expression" priority="4" aboveAverage="0" equalAverage="0" bottom="0" percent="0" rank="0" text="" dxfId="2">
      <formula>COUNTIF(B2:C2,A2)=0</formula>
    </cfRule>
  </conditionalFormatting>
  <dataValidations count="1">
    <dataValidation allowBlank="true" errorStyle="stop" operator="between" showDropDown="false" showErrorMessage="false" showInputMessage="false" sqref="B81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76.63"/>
    <col collapsed="false" customWidth="true" hidden="false" outlineLevel="0" max="2" min="2" style="0" width="5.63"/>
    <col collapsed="false" customWidth="true" hidden="false" outlineLevel="0" max="3" min="3" style="0" width="85.63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1158</v>
      </c>
      <c r="B2" s="3" t="str">
        <f aca="false">IF(COUNTIF(Final_CB_ML3_V5!$B$2:$B$520,A2)&gt;=1,"YES","NO")</f>
        <v>YES</v>
      </c>
      <c r="C2" s="3" t="s">
        <v>720</v>
      </c>
      <c r="D2" s="3" t="str">
        <f aca="false">IF(COUNTIF(Final_CB_ML3_V5!$C$2:$C$520,C2)&gt;=1,"YES","NO")</f>
        <v>YES</v>
      </c>
      <c r="F2" s="4" t="str">
        <f aca="false">IFERROR(__xludf.dummyfunction("filter(A2:A700, MATCH(A2:A700, C2:C700, FALSE))"),"ask::for::advice")</f>
        <v>ask::for::advice</v>
      </c>
      <c r="G2" s="4" t="str">
        <f aca="false">IFERROR(__xludf.dummyfunction("filter(A2:A700,iserror(MATCH(A2:A700, C2:C700, FALSE)))"),"arguments::for::FFE::(issues::require::fixing)")</f>
        <v>arguments::for::FFE::(issues::require::fixing)</v>
      </c>
      <c r="H2" s="4" t="str">
        <f aca="false">IFERROR(__xludf.dummyfunction("filter(C2:C700,ISERROR(MATCH(C2:C700, A2:A700, FALSE)))"),"agreeing::to::reject::a::FFE::for::the::BP::that::includes::the::bug")</f>
        <v>agreeing::to::reject::a::FFE::for::the::BP::that::includes::the::bug</v>
      </c>
    </row>
    <row r="3" customFormat="false" ht="15.75" hidden="false" customHeight="false" outlineLevel="0" collapsed="false">
      <c r="A3" s="3" t="s">
        <v>1159</v>
      </c>
      <c r="B3" s="3" t="str">
        <f aca="false">IF(COUNTIF(Final_CB_ML3_V5!$B$2:$B$520,A3)&gt;=1,"YES","NO")</f>
        <v>YES</v>
      </c>
      <c r="C3" s="3" t="s">
        <v>1159</v>
      </c>
      <c r="D3" s="3" t="str">
        <f aca="false">IF(COUNTIF(Final_CB_ML3_V5!$C$2:$C$520,C3)&gt;=1,"YES","NO")</f>
        <v>YES</v>
      </c>
      <c r="F3" s="4" t="str">
        <f aca="false">IFERROR(__xludf.dummyfunction("""COMPUTED_VALUE"""),"asking::clarifications::about::the::usage::of::a::specific::technology::to::resolve::bugs")</f>
        <v>asking::clarifications::about::the::usage::of::a::specific::technology::to::resolve::bugs</v>
      </c>
      <c r="G3" s="4" t="str">
        <f aca="false">IFERROR(__xludf.dummyfunction("""COMPUTED_VALUE"""),"asking::for::clarification::about::bugs::(more::information::needed)")</f>
        <v>asking::for::clarification::about::bugs::(more::information::needed)</v>
      </c>
      <c r="H3" s="4" t="str">
        <f aca="false">IFERROR(__xludf.dummyfunction("""COMPUTED_VALUE"""),"asking::for::clarification::of::a::poposed::solution::of::another::bug")</f>
        <v>asking::for::clarification::of::a::poposed::solution::of::another::bug</v>
      </c>
    </row>
    <row r="4" customFormat="false" ht="15.75" hidden="false" customHeight="false" outlineLevel="0" collapsed="false">
      <c r="A4" s="3" t="s">
        <v>1160</v>
      </c>
      <c r="B4" s="3" t="str">
        <f aca="false">IF(COUNTIF(Final_CB_ML3_V5!$B$2:$B$520,A4)&gt;=1,"YES","NO")</f>
        <v>YES</v>
      </c>
      <c r="C4" s="3" t="s">
        <v>1160</v>
      </c>
      <c r="D4" s="3" t="str">
        <f aca="false">IF(COUNTIF(Final_CB_ML3_V5!$C$2:$C$520,C4)&gt;=1,"YES","NO")</f>
        <v>YES</v>
      </c>
      <c r="F4" s="4" t="str">
        <f aca="false">IFERROR(__xludf.dummyfunction("""COMPUTED_VALUE"""),"asking::for::help::testing::other::bugs")</f>
        <v>asking::for::help::testing::other::bugs</v>
      </c>
      <c r="G4" s="4" t="str">
        <f aca="false">IFERROR(__xludf.dummyfunction("""COMPUTED_VALUE"""),"asking::for::FFE")</f>
        <v>asking::for::FFE</v>
      </c>
      <c r="H4" s="4" t="str">
        <f aca="false">IFERROR(__xludf.dummyfunction("""COMPUTED_VALUE"""),"asking::for::the::status::of::a::CI::for::testing::libvirt")</f>
        <v>asking::for::the::status::of::a::CI::for::testing::libvirt</v>
      </c>
    </row>
    <row r="5" customFormat="false" ht="15.75" hidden="false" customHeight="false" outlineLevel="0" collapsed="false">
      <c r="A5" s="3" t="s">
        <v>1161</v>
      </c>
      <c r="B5" s="3" t="str">
        <f aca="false">IF(COUNTIF(Final_CB_ML3_V5!$B$2:$B$520,A5)&gt;=1,"YES","NO")</f>
        <v>YES</v>
      </c>
      <c r="C5" s="3" t="s">
        <v>1162</v>
      </c>
      <c r="D5" s="3" t="str">
        <f aca="false">IF(COUNTIF(Final_CB_ML3_V5!$C$2:$C$520,C5)&gt;=1,"YES","NO")</f>
        <v>YES</v>
      </c>
      <c r="F5" s="4" t="str">
        <f aca="false">IFERROR(__xludf.dummyfunction("""COMPUTED_VALUE"""),"not::having::a::CI::for::testing::some::components::of::the::proposed::solution::of::the::bug")</f>
        <v>not::having::a::CI::for::testing::some::components::of::the::proposed::solution::of::the::bug</v>
      </c>
      <c r="G5" s="4" t="str">
        <f aca="false">IFERROR(__xludf.dummyfunction("""COMPUTED_VALUE"""),"discussing::backwards::compatebility::(dependency)")</f>
        <v>discussing::backwards::compatebility::(dependency)</v>
      </c>
      <c r="H5" s="4" t="str">
        <f aca="false">IFERROR(__xludf.dummyfunction("""COMPUTED_VALUE"""),"conerns::that::are::covered::by::the::bug")</f>
        <v>conerns::that::are::covered::by::the::bug</v>
      </c>
    </row>
    <row r="6" customFormat="false" ht="15.75" hidden="false" customHeight="false" outlineLevel="0" collapsed="false">
      <c r="A6" s="3" t="s">
        <v>1163</v>
      </c>
      <c r="B6" s="3" t="str">
        <f aca="false">IF(COUNTIF(Final_CB_ML3_V5!$B$2:$B$520,A6)&gt;=1,"YES","NO")</f>
        <v>YES</v>
      </c>
      <c r="C6" s="3" t="s">
        <v>1164</v>
      </c>
      <c r="D6" s="3" t="str">
        <f aca="false">IF(COUNTIF(Final_CB_ML3_V5!$C$2:$C$520,C6)&gt;=1,"YES","NO")</f>
        <v>YES</v>
      </c>
      <c r="F6" s="4" t="str">
        <f aca="false">IFERROR(__xludf.dummyfunction("""COMPUTED_VALUE"""),"problems::implementing::the::fix::due::to::tests::failures")</f>
        <v>problems::implementing::the::fix::due::to::tests::failures</v>
      </c>
      <c r="G6" s="4" t="str">
        <f aca="false">IFERROR(__xludf.dummyfunction("""COMPUTED_VALUE"""),"informing::frustration::(failing::tests)")</f>
        <v>informing::frustration::(failing::tests)</v>
      </c>
      <c r="H6" s="4" t="str">
        <f aca="false">IFERROR(__xludf.dummyfunction("""COMPUTED_VALUE"""),"conerns::that::are::covered::not::covered::by::the::bug::and::request::new::filings::bugs")</f>
        <v>conerns::that::are::covered::not::covered::by::the::bug::and::request::new::filings::bugs</v>
      </c>
    </row>
    <row r="7" customFormat="false" ht="15.75" hidden="false" customHeight="false" outlineLevel="0" collapsed="false">
      <c r="A7" s="3" t="s">
        <v>1164</v>
      </c>
      <c r="B7" s="3" t="str">
        <f aca="false">IF(COUNTIF(Final_CB_ML3_V5!$B$2:$B$520,A7)&gt;=1,"YES","NO")</f>
        <v>YES</v>
      </c>
      <c r="C7" s="3" t="s">
        <v>1165</v>
      </c>
      <c r="D7" s="3" t="str">
        <f aca="false">IF(COUNTIF(Final_CB_ML3_V5!$C$2:$C$520,C7)&gt;=1,"YES","NO")</f>
        <v>YES</v>
      </c>
      <c r="F7" s="4" t="str">
        <f aca="false">IFERROR(__xludf.dummyfunction("""COMPUTED_VALUE"""),"result::output::tests::for::the::modified::files")</f>
        <v>result::output::tests::for::the::modified::files</v>
      </c>
      <c r="G7" s="4" t="str">
        <f aca="false">IFERROR(__xludf.dummyfunction("""COMPUTED_VALUE"""),"informing::progress")</f>
        <v>informing::progress</v>
      </c>
      <c r="H7" s="4" t="str">
        <f aca="false">IFERROR(__xludf.dummyfunction("""COMPUTED_VALUE"""),"deprecate::usage::of::tool::in::case::no::CI::for::testing::is::found")</f>
        <v>deprecate::usage::of::tool::in::case::no::CI::for::testing::is::found</v>
      </c>
    </row>
    <row r="8" customFormat="false" ht="15.75" hidden="false" customHeight="false" outlineLevel="0" collapsed="false">
      <c r="A8" s="3" t="s">
        <v>1166</v>
      </c>
      <c r="B8" s="3" t="str">
        <f aca="false">IF(COUNTIF(Final_CB_ML3_V5!$B$2:$B$520,A8)&gt;=1,"YES","NO")</f>
        <v>YES</v>
      </c>
      <c r="C8" s="3" t="s">
        <v>1167</v>
      </c>
      <c r="D8" s="3" t="str">
        <f aca="false">IF(COUNTIF(Final_CB_ML3_V5!$C$2:$C$520,C8)&gt;=1,"YES","NO")</f>
        <v>YES</v>
      </c>
      <c r="F8" s="4" t="str">
        <f aca="false">IFERROR(__xludf.dummyfunction("""COMPUTED_VALUE"""),"what::to::do::if::something::is::not::tested")</f>
        <v>what::to::do::if::something::is::not::tested</v>
      </c>
      <c r="G8" s="4" t="str">
        <f aca="false">IFERROR(__xludf.dummyfunction("""COMPUTED_VALUE"""),"informing::will::add::new::issues")</f>
        <v>informing::will::add::new::issues</v>
      </c>
      <c r="H8" s="4" t="str">
        <f aca="false">IFERROR(__xludf.dummyfunction("""COMPUTED_VALUE"""),"describe::bug::that::is::fixed")</f>
        <v>describe::bug::that::is::fixed</v>
      </c>
    </row>
    <row r="9" customFormat="false" ht="15.75" hidden="false" customHeight="false" outlineLevel="0" collapsed="false">
      <c r="A9" s="3" t="s">
        <v>1168</v>
      </c>
      <c r="B9" s="3" t="str">
        <f aca="false">IF(COUNTIF(Final_CB_ML3_V5!$B$2:$B$520,A9)&gt;=1,"YES","NO")</f>
        <v>YES</v>
      </c>
      <c r="C9" s="3" t="s">
        <v>1169</v>
      </c>
      <c r="D9" s="3" t="str">
        <f aca="false">IF(COUNTIF(Final_CB_ML3_V5!$C$2:$C$520,C9)&gt;=1,"YES","NO")</f>
        <v>YES</v>
      </c>
      <c r="G9" s="4" t="str">
        <f aca="false">IFERROR(__xludf.dummyfunction("""COMPUTED_VALUE"""),"mentioning::bugs::addressed")</f>
        <v>mentioning::bugs::addressed</v>
      </c>
      <c r="H9" s="4" t="str">
        <f aca="false">IFERROR(__xludf.dummyfunction("""COMPUTED_VALUE"""),"filing::new::tickets::if::required::not::bug::related")</f>
        <v>filing::new::tickets::if::required::not::bug::related</v>
      </c>
    </row>
    <row r="10" customFormat="false" ht="15.75" hidden="false" customHeight="false" outlineLevel="0" collapsed="false">
      <c r="A10" s="3" t="s">
        <v>858</v>
      </c>
      <c r="B10" s="3" t="str">
        <f aca="false">IF(COUNTIF(Final_CB_ML3_V5!$B$2:$B$520,A10)&gt;=1,"YES","NO")</f>
        <v>YES</v>
      </c>
      <c r="C10" s="3" t="s">
        <v>1170</v>
      </c>
      <c r="D10" s="3" t="str">
        <f aca="false">IF(COUNTIF(Final_CB_ML3_V5!$C$2:$C$520,C10)&gt;=1,"YES","NO")</f>
        <v>YES</v>
      </c>
      <c r="G10" s="4" t="str">
        <f aca="false">IFERROR(__xludf.dummyfunction("""COMPUTED_VALUE"""),"mentioning::bugs::fixed::(partially)")</f>
        <v>mentioning::bugs::fixed::(partially)</v>
      </c>
      <c r="H10" s="4" t="str">
        <f aca="false">IFERROR(__xludf.dummyfunction("""COMPUTED_VALUE"""),"How::to::fix::the::bug")</f>
        <v>How::to::fix::the::bug</v>
      </c>
    </row>
    <row r="11" customFormat="false" ht="15.75" hidden="false" customHeight="false" outlineLevel="0" collapsed="false">
      <c r="A11" s="3" t="s">
        <v>1171</v>
      </c>
      <c r="B11" s="3" t="str">
        <f aca="false">IF(COUNTIF(Final_CB_ML3_V5!$B$2:$B$520,A11)&gt;=1,"YES","NO")</f>
        <v>YES</v>
      </c>
      <c r="C11" s="3" t="s">
        <v>1172</v>
      </c>
      <c r="D11" s="3" t="str">
        <f aca="false">IF(COUNTIF(Final_CB_ML3_V5!$C$2:$C$520,C11)&gt;=1,"YES","NO")</f>
        <v>YES</v>
      </c>
      <c r="G11" s="4" t="str">
        <f aca="false">IFERROR(__xludf.dummyfunction("""COMPUTED_VALUE"""),"mentioning::bugs::found")</f>
        <v>mentioning::bugs::found</v>
      </c>
      <c r="H11" s="4" t="str">
        <f aca="false">IFERROR(__xludf.dummyfunction("""COMPUTED_VALUE"""),"importance::bug")</f>
        <v>importance::bug</v>
      </c>
    </row>
    <row r="12" customFormat="false" ht="15.75" hidden="false" customHeight="false" outlineLevel="0" collapsed="false">
      <c r="A12" s="3" t="s">
        <v>1173</v>
      </c>
      <c r="B12" s="3" t="str">
        <f aca="false">IF(COUNTIF(Final_CB_ML3_V5!$B$2:$B$520,A12)&gt;=1,"YES","NO")</f>
        <v>YES</v>
      </c>
      <c r="C12" s="3" t="s">
        <v>1174</v>
      </c>
      <c r="D12" s="3" t="str">
        <f aca="false">IF(COUNTIF(Final_CB_ML3_V5!$C$2:$C$520,C12)&gt;=1,"YES","NO")</f>
        <v>YES</v>
      </c>
      <c r="G12" s="4" t="str">
        <f aca="false">IFERROR(__xludf.dummyfunction("""COMPUTED_VALUE"""),"mentioning::technology::not::documented")</f>
        <v>mentioning::technology::not::documented</v>
      </c>
      <c r="H12" s="4" t="str">
        <f aca="false">IFERROR(__xludf.dummyfunction("""COMPUTED_VALUE"""),"information::provided::by::documentation::project::on::how::to::handle::tests")</f>
        <v>information::provided::by::documentation::project::on::how::to::handle::tests</v>
      </c>
    </row>
    <row r="13" customFormat="false" ht="15.75" hidden="false" customHeight="false" outlineLevel="0" collapsed="false">
      <c r="A13" s="3" t="s">
        <v>1175</v>
      </c>
      <c r="B13" s="3" t="str">
        <f aca="false">IF(COUNTIF(Final_CB_ML3_V5!$B$2:$B$520,A13)&gt;=1,"YES","NO")</f>
        <v>YES</v>
      </c>
      <c r="C13" s="3" t="s">
        <v>1176</v>
      </c>
      <c r="D13" s="3" t="str">
        <f aca="false">IF(COUNTIF(Final_CB_ML3_V5!$C$2:$C$520,C13)&gt;=1,"YES","NO")</f>
        <v>YES</v>
      </c>
      <c r="G13" s="4" t="str">
        <f aca="false">IFERROR(__xludf.dummyfunction("""COMPUTED_VALUE"""),"minor::changes")</f>
        <v>minor::changes</v>
      </c>
      <c r="H13" s="4" t="str">
        <f aca="false">IFERROR(__xludf.dummyfunction("""COMPUTED_VALUE"""),"main::responsible::for::te::bug::not available")</f>
        <v>main::responsible::for::te::bug::not available</v>
      </c>
    </row>
    <row r="14" customFormat="false" ht="15.75" hidden="false" customHeight="false" outlineLevel="0" collapsed="false">
      <c r="A14" s="3" t="s">
        <v>1177</v>
      </c>
      <c r="B14" s="3" t="str">
        <f aca="false">IF(COUNTIF(Final_CB_ML3_V5!$B$2:$B$520,A14)&gt;=1,"YES","NO")</f>
        <v>YES</v>
      </c>
      <c r="C14" s="3" t="s">
        <v>1178</v>
      </c>
      <c r="D14" s="3" t="str">
        <f aca="false">IF(COUNTIF(Final_CB_ML3_V5!$C$2:$C$520,C14)&gt;=1,"YES","NO")</f>
        <v>YES</v>
      </c>
      <c r="G14" s="4" t="str">
        <f aca="false">IFERROR(__xludf.dummyfunction("""COMPUTED_VALUE"""),"person::responsible::unavailable::(temporarily)")</f>
        <v>person::responsible::unavailable::(temporarily)</v>
      </c>
      <c r="H14" s="4" t="str">
        <f aca="false">IFERROR(__xludf.dummyfunction("""COMPUTED_VALUE"""),"mentioning::a::released::patch::about::another::bugs")</f>
        <v>mentioning::a::released::patch::about::another::bugs</v>
      </c>
    </row>
    <row r="15" customFormat="false" ht="15.75" hidden="false" customHeight="false" outlineLevel="0" collapsed="false">
      <c r="A15" s="3" t="s">
        <v>1179</v>
      </c>
      <c r="B15" s="3" t="str">
        <f aca="false">IF(COUNTIF(Final_CB_ML3_V5!$B$2:$B$520,A15)&gt;=1,"YES","NO")</f>
        <v>YES</v>
      </c>
      <c r="C15" s="3" t="s">
        <v>1180</v>
      </c>
      <c r="D15" s="3" t="str">
        <f aca="false">IF(COUNTIF(Final_CB_ML3_V5!$C$2:$C$520,C15)&gt;=1,"YES","NO")</f>
        <v>YES</v>
      </c>
      <c r="G15" s="4" t="str">
        <f aca="false">IFERROR(__xludf.dummyfunction("""COMPUTED_VALUE"""),"refers::to::file")</f>
        <v>refers::to::file</v>
      </c>
      <c r="H15" s="4" t="str">
        <f aca="false">IFERROR(__xludf.dummyfunction("""COMPUTED_VALUE"""),"not::knowing::how::to::fix::bug")</f>
        <v>not::knowing::how::to::fix::bug</v>
      </c>
    </row>
    <row r="16" customFormat="false" ht="15.75" hidden="false" customHeight="false" outlineLevel="0" collapsed="false">
      <c r="A16" s="3" t="s">
        <v>899</v>
      </c>
      <c r="B16" s="3" t="str">
        <f aca="false">IF(COUNTIF(Final_CB_ML3_V5!$B$2:$B$520,A16)&gt;=1,"YES","NO")</f>
        <v>YES</v>
      </c>
      <c r="C16" s="3" t="s">
        <v>1181</v>
      </c>
      <c r="D16" s="3" t="str">
        <f aca="false">IF(COUNTIF(Final_CB_ML3_V5!$C$2:$C$520,C16)&gt;=1,"YES","NO")</f>
        <v>YES</v>
      </c>
      <c r="G16" s="4" t="str">
        <f aca="false">IFERROR(__xludf.dummyfunction("""COMPUTED_VALUE"""),"refers::to::issue::(bug)")</f>
        <v>refers::to::issue::(bug)</v>
      </c>
      <c r="H16" s="4" t="str">
        <f aca="false">IFERROR(__xludf.dummyfunction("""COMPUTED_VALUE"""),"overcome::delay::on::resolve::the::bugs")</f>
        <v>overcome::delay::on::resolve::the::bugs</v>
      </c>
    </row>
    <row r="17" customFormat="false" ht="15.75" hidden="false" customHeight="false" outlineLevel="0" collapsed="false">
      <c r="A17" s="3" t="s">
        <v>1182</v>
      </c>
      <c r="B17" s="3" t="str">
        <f aca="false">IF(COUNTIF(Final_CB_ML3_V5!$B$2:$B$520,A17)&gt;=1,"YES","NO")</f>
        <v>YES</v>
      </c>
      <c r="C17" s="3" t="s">
        <v>1183</v>
      </c>
      <c r="D17" s="3" t="str">
        <f aca="false">IF(COUNTIF(Final_CB_ML3_V5!$C$2:$C$520,C17)&gt;=1,"YES","NO")</f>
        <v>YES</v>
      </c>
      <c r="G17" s="4" t="str">
        <f aca="false">IFERROR(__xludf.dummyfunction("""COMPUTED_VALUE"""),"refers::to::mailinglist")</f>
        <v>refers::to::mailinglist</v>
      </c>
      <c r="H17" s="4" t="str">
        <f aca="false">IFERROR(__xludf.dummyfunction("""COMPUTED_VALUE"""),"possible::path::for::a::solution")</f>
        <v>possible::path::for::a::solution</v>
      </c>
    </row>
    <row r="18" customFormat="false" ht="15.75" hidden="false" customHeight="false" outlineLevel="0" collapsed="false">
      <c r="A18" s="3" t="s">
        <v>1184</v>
      </c>
      <c r="B18" s="3" t="str">
        <f aca="false">IF(COUNTIF(Final_CB_ML3_V5!$B$2:$B$520,A18)&gt;=1,"YES","NO")</f>
        <v>YES</v>
      </c>
      <c r="C18" s="3" t="s">
        <v>1182</v>
      </c>
      <c r="D18" s="3" t="str">
        <f aca="false">IF(COUNTIF(Final_CB_ML3_V5!$C$2:$C$520,C18)&gt;=1,"YES","NO")</f>
        <v>YES</v>
      </c>
      <c r="G18" s="4" t="str">
        <f aca="false">IFERROR(__xludf.dummyfunction("""COMPUTED_VALUE"""),"refers::to::review")</f>
        <v>refers::to::review</v>
      </c>
      <c r="H18" s="4" t="str">
        <f aca="false">IFERROR(__xludf.dummyfunction("""COMPUTED_VALUE"""),"propossal::solution::for::missing::CI::tool")</f>
        <v>propossal::solution::for::missing::CI::tool</v>
      </c>
    </row>
    <row r="19" customFormat="false" ht="15.75" hidden="false" customHeight="false" outlineLevel="0" collapsed="false">
      <c r="A19" s="3" t="s">
        <v>1185</v>
      </c>
      <c r="B19" s="3" t="str">
        <f aca="false">IF(COUNTIF(Final_CB_ML3_V5!$B$2:$B$520,A19)&gt;=1,"YES","NO")</f>
        <v>YES</v>
      </c>
      <c r="C19" s="3" t="s">
        <v>1186</v>
      </c>
      <c r="D19" s="3" t="str">
        <f aca="false">IF(COUNTIF(Final_CB_ML3_V5!$C$2:$C$520,C19)&gt;=1,"YES","NO")</f>
        <v>YES</v>
      </c>
      <c r="G19" s="4"/>
      <c r="H19" s="4" t="str">
        <f aca="false">IFERROR(__xludf.dummyfunction("""COMPUTED_VALUE"""),"status::of::cycle::of::development::for::the::bug")</f>
        <v>status::of::cycle::of::development::for::the::bug</v>
      </c>
    </row>
    <row r="20" customFormat="false" ht="15.75" hidden="false" customHeight="false" outlineLevel="0" collapsed="false">
      <c r="A20" s="3" t="s">
        <v>1187</v>
      </c>
      <c r="B20" s="3" t="str">
        <f aca="false">IF(COUNTIF(Final_CB_ML3_V5!$B$2:$B$520,A20)&gt;=1,"YES","NO")</f>
        <v>YES</v>
      </c>
      <c r="C20" s="3" t="s">
        <v>1188</v>
      </c>
      <c r="D20" s="3" t="str">
        <f aca="false">IF(COUNTIF(Final_CB_ML3_V5!$C$2:$C$520,C20)&gt;=1,"YES","NO")</f>
        <v>YES</v>
      </c>
      <c r="G20" s="4"/>
      <c r="H20" s="4" t="str">
        <f aca="false">IFERROR(__xludf.dummyfunction("""COMPUTED_VALUE"""),"support::matrix::of::Features::and::software")</f>
        <v>support::matrix::of::Features::and::software</v>
      </c>
    </row>
    <row r="21" customFormat="false" ht="15.75" hidden="false" customHeight="false" outlineLevel="0" collapsed="false">
      <c r="A21" s="3" t="s">
        <v>1189</v>
      </c>
      <c r="B21" s="3" t="str">
        <f aca="false">IF(COUNTIF(Final_CB_ML3_V5!$B$2:$B$520,A21)&gt;=1,"YES","NO")</f>
        <v>YES</v>
      </c>
      <c r="C21" s="3" t="s">
        <v>1190</v>
      </c>
      <c r="D21" s="3" t="str">
        <f aca="false">IF(COUNTIF(Final_CB_ML3_V5!$C$2:$C$520,C21)&gt;=1,"YES","NO")</f>
        <v>YES</v>
      </c>
      <c r="G21" s="4"/>
      <c r="H21" s="4"/>
    </row>
    <row r="22" customFormat="false" ht="15.75" hidden="false" customHeight="false" outlineLevel="0" collapsed="false">
      <c r="A22" s="3" t="s">
        <v>1191</v>
      </c>
      <c r="B22" s="3" t="str">
        <f aca="false">IF(COUNTIF(Final_CB_ML3_V5!$B$2:$B$520,A22)&gt;=1,"YES","NO")</f>
        <v>YES</v>
      </c>
      <c r="C22" s="3" t="s">
        <v>1185</v>
      </c>
      <c r="D22" s="3" t="str">
        <f aca="false">IF(COUNTIF(Final_CB_ML3_V5!$C$2:$C$520,C22)&gt;=1,"YES","NO")</f>
        <v>YES</v>
      </c>
      <c r="G22" s="4"/>
      <c r="H22" s="4"/>
    </row>
    <row r="23" customFormat="false" ht="15.75" hidden="false" customHeight="false" outlineLevel="0" collapsed="false">
      <c r="A23" s="3" t="s">
        <v>1192</v>
      </c>
      <c r="B23" s="3" t="str">
        <f aca="false">IF(COUNTIF(Final_CB_ML3_V5!$B$2:$B$520,A23)&gt;=1,"YES","NO")</f>
        <v>YES</v>
      </c>
      <c r="C23" s="3" t="s">
        <v>1193</v>
      </c>
      <c r="D23" s="3" t="str">
        <f aca="false">IF(COUNTIF(Final_CB_ML3_V5!$C$2:$C$520,C23)&gt;=1,"YES","NO")</f>
        <v>YES</v>
      </c>
      <c r="G23" s="4"/>
      <c r="H23" s="4"/>
    </row>
    <row r="24" customFormat="false" ht="15.75" hidden="false" customHeight="false" outlineLevel="0" collapsed="false">
      <c r="A24" s="3" t="s">
        <v>1194</v>
      </c>
      <c r="B24" s="3" t="str">
        <f aca="false">IF(COUNTIF(Final_CB_ML3_V5!$B$2:$B$520,A24)&gt;=1,"YES","NO")</f>
        <v>YES</v>
      </c>
      <c r="C24" s="3" t="s">
        <v>1194</v>
      </c>
      <c r="D24" s="3" t="str">
        <f aca="false">IF(COUNTIF(Final_CB_ML3_V5!$C$2:$C$520,C24)&gt;=1,"YES","NO")</f>
        <v>YES</v>
      </c>
      <c r="G24" s="4"/>
      <c r="H24" s="4"/>
    </row>
    <row r="25" customFormat="false" ht="15.75" hidden="false" customHeight="false" outlineLevel="0" collapsed="false">
      <c r="A25" s="3" t="s">
        <v>1195</v>
      </c>
      <c r="B25" s="3" t="str">
        <f aca="false">IF(COUNTIF(Final_CB_ML3_V5!$B$2:$B$520,A25)&gt;=1,"YES","NO")</f>
        <v>YES</v>
      </c>
      <c r="C25" s="3" t="s">
        <v>1196</v>
      </c>
      <c r="D25" s="3" t="str">
        <f aca="false">IF(COUNTIF(Final_CB_ML3_V5!$C$2:$C$520,C25)&gt;=1,"YES","NO")</f>
        <v>YES</v>
      </c>
      <c r="G25" s="4"/>
      <c r="H25" s="4"/>
    </row>
    <row r="26" customFormat="false" ht="15.75" hidden="false" customHeight="false" outlineLevel="0" collapsed="false">
      <c r="B26" s="3" t="str">
        <f aca="false">IF(COUNTIF(Final_CB_ML3_V5!$B$2:$B$520,A26)&gt;=1,"YES","NO")</f>
        <v>NO</v>
      </c>
      <c r="C26" s="3" t="s">
        <v>1197</v>
      </c>
      <c r="D26" s="3" t="str">
        <f aca="false">IF(COUNTIF(Final_CB_ML3_V5!$C$2:$C$520,C26)&gt;=1,"YES","NO")</f>
        <v>YES</v>
      </c>
      <c r="G26" s="4"/>
      <c r="H26" s="4"/>
    </row>
    <row r="27" customFormat="false" ht="15.75" hidden="false" customHeight="false" outlineLevel="0" collapsed="false">
      <c r="B27" s="3" t="str">
        <f aca="false">IF(COUNTIF(Final_CB_ML3_V5!$B$2:$B$520,A27)&gt;=1,"YES","NO")</f>
        <v>NO</v>
      </c>
      <c r="C27" s="3" t="s">
        <v>1195</v>
      </c>
      <c r="D27" s="3" t="str">
        <f aca="false">IF(COUNTIF(Final_CB_ML3_V5!$C$2:$C$520,C27)&gt;=1,"YES","NO")</f>
        <v>YES</v>
      </c>
      <c r="G27" s="4"/>
      <c r="H27" s="4"/>
    </row>
    <row r="28" customFormat="false" ht="15.75" hidden="false" customHeight="false" outlineLevel="0" collapsed="false">
      <c r="B28" s="3" t="str">
        <f aca="false">IF(COUNTIF(Final_CB_ML3_V5!$B$2:$B$520,A28)&gt;=1,"YES","NO")</f>
        <v>NO</v>
      </c>
      <c r="D28" s="3" t="str">
        <f aca="false">IF(COUNTIF(Final_CB_ML3_V5!$C$2:$C$520,C28)&gt;=1,"YES","NO")</f>
        <v>NO</v>
      </c>
      <c r="G28" s="4"/>
      <c r="H28" s="4"/>
    </row>
    <row r="29" customFormat="false" ht="15.75" hidden="false" customHeight="false" outlineLevel="0" collapsed="false">
      <c r="B29" s="3" t="str">
        <f aca="false">IF(COUNTIF(Final_CB_ML3_V5!$B$2:$B$520,A29)&gt;=1,"YES","NO")</f>
        <v>NO</v>
      </c>
      <c r="D29" s="3" t="str">
        <f aca="false">IF(COUNTIF(Final_CB_ML3_V5!$C$2:$C$520,C29)&gt;=1,"YES","NO")</f>
        <v>NO</v>
      </c>
      <c r="G29" s="4"/>
      <c r="H29" s="4"/>
    </row>
    <row r="30" customFormat="false" ht="15.75" hidden="false" customHeight="false" outlineLevel="0" collapsed="false">
      <c r="B30" s="3" t="str">
        <f aca="false">IF(COUNTIF(Final_CB_ML3_V5!$B$2:$B$520,A30)&gt;=1,"YES","NO")</f>
        <v>NO</v>
      </c>
      <c r="D30" s="3" t="str">
        <f aca="false">IF(COUNTIF(Final_CB_ML3_V5!$C$2:$C$520,C30)&gt;=1,"YES","NO")</f>
        <v>NO</v>
      </c>
      <c r="G30" s="4"/>
      <c r="H30" s="4"/>
    </row>
    <row r="31" customFormat="false" ht="15.75" hidden="false" customHeight="false" outlineLevel="0" collapsed="false">
      <c r="B31" s="3" t="str">
        <f aca="false">IF(COUNTIF(Final_CB_ML3_V5!$B$2:$B$520,A31)&gt;=1,"YES","NO")</f>
        <v>NO</v>
      </c>
      <c r="D31" s="3" t="str">
        <f aca="false">IF(COUNTIF(Final_CB_ML3_V5!$C$2:$C$520,C31)&gt;=1,"YES","NO")</f>
        <v>NO</v>
      </c>
      <c r="G31" s="4"/>
      <c r="H31" s="4"/>
    </row>
    <row r="32" customFormat="false" ht="15.75" hidden="false" customHeight="false" outlineLevel="0" collapsed="false">
      <c r="B32" s="3" t="str">
        <f aca="false">IF(COUNTIF(Final_CB_ML3_V5!$B$2:$B$520,A32)&gt;=1,"YES","NO")</f>
        <v>NO</v>
      </c>
      <c r="D32" s="3" t="str">
        <f aca="false">IF(COUNTIF(Final_CB_ML3_V5!$C$2:$C$520,C32)&gt;=1,"YES","NO")</f>
        <v>NO</v>
      </c>
      <c r="G32" s="4"/>
      <c r="H32" s="4"/>
    </row>
    <row r="33" customFormat="false" ht="15.75" hidden="false" customHeight="false" outlineLevel="0" collapsed="false">
      <c r="B33" s="3" t="str">
        <f aca="false">IF(COUNTIF(Final_CB_ML3_V5!$B$2:$B$520,A33)&gt;=1,"YES","NO")</f>
        <v>NO</v>
      </c>
      <c r="D33" s="3" t="str">
        <f aca="false">IF(COUNTIF(Final_CB_ML3_V5!$C$2:$C$520,C33)&gt;=1,"YES","NO")</f>
        <v>NO</v>
      </c>
      <c r="G33" s="4"/>
      <c r="H33" s="4"/>
    </row>
    <row r="34" customFormat="false" ht="15.75" hidden="false" customHeight="false" outlineLevel="0" collapsed="false">
      <c r="B34" s="3" t="str">
        <f aca="false">IF(COUNTIF(Final_CB_ML3_V5!$B$2:$B$520,A34)&gt;=1,"YES","NO")</f>
        <v>NO</v>
      </c>
      <c r="D34" s="3" t="str">
        <f aca="false">IF(COUNTIF(Final_CB_ML3_V5!$C$2:$C$520,C34)&gt;=1,"YES","NO")</f>
        <v>NO</v>
      </c>
      <c r="G34" s="4"/>
      <c r="H34" s="4"/>
    </row>
    <row r="35" customFormat="false" ht="15.75" hidden="false" customHeight="false" outlineLevel="0" collapsed="false">
      <c r="B35" s="3" t="str">
        <f aca="false">IF(COUNTIF(Final_CB_ML3_V5!$B$2:$B$520,A35)&gt;=1,"YES","NO")</f>
        <v>NO</v>
      </c>
      <c r="D35" s="3" t="str">
        <f aca="false">IF(COUNTIF(Final_CB_ML3_V5!$C$2:$C$520,C35)&gt;=1,"YES","NO")</f>
        <v>NO</v>
      </c>
      <c r="G35" s="4"/>
      <c r="H35" s="4"/>
    </row>
    <row r="36" customFormat="false" ht="15.75" hidden="false" customHeight="false" outlineLevel="0" collapsed="false">
      <c r="B36" s="3" t="str">
        <f aca="false">IF(COUNTIF(Final_CB_ML3_V5!$B$2:$B$520,A36)&gt;=1,"YES","NO")</f>
        <v>NO</v>
      </c>
      <c r="D36" s="3" t="str">
        <f aca="false">IF(COUNTIF(Final_CB_ML3_V5!$C$2:$C$520,C36)&gt;=1,"YES","NO")</f>
        <v>NO</v>
      </c>
      <c r="G36" s="4"/>
      <c r="H36" s="4"/>
    </row>
    <row r="37" customFormat="false" ht="15.75" hidden="false" customHeight="false" outlineLevel="0" collapsed="false">
      <c r="B37" s="3" t="str">
        <f aca="false">IF(COUNTIF(Final_CB_ML3_V5!$B$2:$B$520,A37)&gt;=1,"YES","NO")</f>
        <v>NO</v>
      </c>
      <c r="D37" s="3" t="str">
        <f aca="false">IF(COUNTIF(Final_CB_ML3_V5!$C$2:$C$520,C37)&gt;=1,"YES","NO")</f>
        <v>NO</v>
      </c>
      <c r="G37" s="4"/>
      <c r="H37" s="4"/>
    </row>
    <row r="38" customFormat="false" ht="15.75" hidden="false" customHeight="false" outlineLevel="0" collapsed="false">
      <c r="B38" s="3" t="str">
        <f aca="false">IF(COUNTIF(Final_CB_ML3_V5!$B$2:$B$520,A38)&gt;=1,"YES","NO")</f>
        <v>NO</v>
      </c>
      <c r="D38" s="3" t="str">
        <f aca="false">IF(COUNTIF(Final_CB_ML3_V5!$C$2:$C$520,C38)&gt;=1,"YES","NO")</f>
        <v>NO</v>
      </c>
      <c r="G38" s="4"/>
      <c r="H38" s="4"/>
    </row>
    <row r="39" customFormat="false" ht="15.75" hidden="false" customHeight="false" outlineLevel="0" collapsed="false">
      <c r="B39" s="3" t="str">
        <f aca="false">IF(COUNTIF(Final_CB_ML3_V5!$B$2:$B$520,A39)&gt;=1,"YES","NO")</f>
        <v>NO</v>
      </c>
      <c r="D39" s="3" t="str">
        <f aca="false">IF(COUNTIF(Final_CB_ML3_V5!$C$2:$C$520,C39)&gt;=1,"YES","NO")</f>
        <v>NO</v>
      </c>
      <c r="G39" s="4"/>
      <c r="H39" s="4"/>
    </row>
    <row r="40" customFormat="false" ht="15.75" hidden="false" customHeight="false" outlineLevel="0" collapsed="false">
      <c r="B40" s="3" t="str">
        <f aca="false">IF(COUNTIF(Final_CB_ML3_V5!$B$2:$B$520,A40)&gt;=1,"YES","NO")</f>
        <v>NO</v>
      </c>
      <c r="D40" s="3" t="str">
        <f aca="false">IF(COUNTIF(Final_CB_ML3_V5!$C$2:$C$520,C40)&gt;=1,"YES","NO")</f>
        <v>NO</v>
      </c>
      <c r="G40" s="4"/>
      <c r="H40" s="4"/>
    </row>
    <row r="41" customFormat="false" ht="15.75" hidden="false" customHeight="false" outlineLevel="0" collapsed="false">
      <c r="B41" s="3" t="str">
        <f aca="false">IF(COUNTIF(Final_CB_ML3_V5!$B$2:$B$520,A41)&gt;=1,"YES","NO")</f>
        <v>NO</v>
      </c>
      <c r="D41" s="3" t="str">
        <f aca="false">IF(COUNTIF(Final_CB_ML3_V5!$C$2:$C$520,C41)&gt;=1,"YES","NO")</f>
        <v>NO</v>
      </c>
      <c r="G41" s="4"/>
      <c r="H41" s="4"/>
    </row>
    <row r="42" customFormat="false" ht="15.75" hidden="false" customHeight="false" outlineLevel="0" collapsed="false">
      <c r="B42" s="3" t="str">
        <f aca="false">IF(COUNTIF(Final_CB_ML3_V5!$B$2:$B$520,A42)&gt;=1,"YES","NO")</f>
        <v>NO</v>
      </c>
      <c r="D42" s="3" t="str">
        <f aca="false">IF(COUNTIF(Final_CB_ML3_V5!$C$2:$C$520,C42)&gt;=1,"YES","NO")</f>
        <v>NO</v>
      </c>
      <c r="G42" s="4"/>
      <c r="H42" s="4"/>
    </row>
    <row r="43" customFormat="false" ht="15.75" hidden="false" customHeight="false" outlineLevel="0" collapsed="false">
      <c r="B43" s="3" t="str">
        <f aca="false">IF(COUNTIF(Final_CB_ML3_V5!$B$2:$B$520,A43)&gt;=1,"YES","NO")</f>
        <v>NO</v>
      </c>
      <c r="D43" s="3" t="str">
        <f aca="false">IF(COUNTIF(Final_CB_ML3_V5!$C$2:$C$520,C43)&gt;=1,"YES","NO")</f>
        <v>NO</v>
      </c>
      <c r="G43" s="4"/>
      <c r="H43" s="4"/>
    </row>
    <row r="44" customFormat="false" ht="15.75" hidden="false" customHeight="false" outlineLevel="0" collapsed="false">
      <c r="B44" s="3" t="str">
        <f aca="false">IF(COUNTIF(Final_CB_ML3_V5!$B$2:$B$520,A44)&gt;=1,"YES","NO")</f>
        <v>NO</v>
      </c>
      <c r="D44" s="3" t="str">
        <f aca="false">IF(COUNTIF(Final_CB_ML3_V5!$C$2:$C$520,C44)&gt;=1,"YES","NO")</f>
        <v>NO</v>
      </c>
      <c r="G44" s="4"/>
      <c r="H44" s="4"/>
    </row>
    <row r="45" customFormat="false" ht="15.75" hidden="false" customHeight="false" outlineLevel="0" collapsed="false">
      <c r="B45" s="3" t="str">
        <f aca="false">IF(COUNTIF(Final_CB_ML3_V5!$B$2:$B$520,A45)&gt;=1,"YES","NO")</f>
        <v>NO</v>
      </c>
      <c r="D45" s="3" t="str">
        <f aca="false">IF(COUNTIF(Final_CB_ML3_V5!$C$2:$C$520,C45)&gt;=1,"YES","NO")</f>
        <v>NO</v>
      </c>
      <c r="G45" s="4"/>
      <c r="H45" s="4"/>
    </row>
    <row r="46" customFormat="false" ht="15.75" hidden="false" customHeight="false" outlineLevel="0" collapsed="false">
      <c r="B46" s="3" t="str">
        <f aca="false">IF(COUNTIF(Final_CB_ML3_V5!$B$2:$B$520,A46)&gt;=1,"YES","NO")</f>
        <v>NO</v>
      </c>
      <c r="D46" s="3" t="str">
        <f aca="false">IF(COUNTIF(Final_CB_ML3_V5!$C$2:$C$520,C46)&gt;=1,"YES","NO")</f>
        <v>NO</v>
      </c>
      <c r="G46" s="4"/>
      <c r="H46" s="4"/>
    </row>
    <row r="47" customFormat="false" ht="15.75" hidden="false" customHeight="false" outlineLevel="0" collapsed="false">
      <c r="B47" s="3" t="str">
        <f aca="false">IF(COUNTIF(Final_CB_ML3_V5!$B$2:$B$520,A47)&gt;=1,"YES","NO")</f>
        <v>NO</v>
      </c>
      <c r="D47" s="3" t="str">
        <f aca="false">IF(COUNTIF(Final_CB_ML3_V5!$C$2:$C$520,C47)&gt;=1,"YES","NO")</f>
        <v>NO</v>
      </c>
      <c r="G47" s="4"/>
      <c r="H47" s="4"/>
    </row>
    <row r="48" customFormat="false" ht="15.75" hidden="false" customHeight="false" outlineLevel="0" collapsed="false">
      <c r="B48" s="3" t="str">
        <f aca="false">IF(COUNTIF(Final_CB_ML3_V5!$B$2:$B$520,A48)&gt;=1,"YES","NO")</f>
        <v>NO</v>
      </c>
      <c r="D48" s="3" t="str">
        <f aca="false">IF(COUNTIF(Final_CB_ML3_V5!$C$2:$C$520,C48)&gt;=1,"YES","NO")</f>
        <v>NO</v>
      </c>
      <c r="G48" s="4"/>
      <c r="H48" s="4"/>
    </row>
    <row r="49" customFormat="false" ht="15.75" hidden="false" customHeight="false" outlineLevel="0" collapsed="false">
      <c r="B49" s="3" t="str">
        <f aca="false">IF(COUNTIF(Final_CB_ML3_V5!$B$2:$B$520,A49)&gt;=1,"YES","NO")</f>
        <v>NO</v>
      </c>
      <c r="D49" s="3" t="str">
        <f aca="false">IF(COUNTIF(Final_CB_ML3_V5!$C$2:$C$520,C49)&gt;=1,"YES","NO")</f>
        <v>NO</v>
      </c>
      <c r="G49" s="4"/>
      <c r="H49" s="4"/>
    </row>
    <row r="50" customFormat="false" ht="15.75" hidden="false" customHeight="false" outlineLevel="0" collapsed="false">
      <c r="B50" s="3" t="str">
        <f aca="false">IF(COUNTIF(Final_CB_ML3_V5!$B$2:$B$520,A50)&gt;=1,"YES","NO")</f>
        <v>NO</v>
      </c>
      <c r="D50" s="3" t="str">
        <f aca="false">IF(COUNTIF(Final_CB_ML3_V5!$C$2:$C$520,C50)&gt;=1,"YES","NO")</f>
        <v>NO</v>
      </c>
      <c r="G50" s="4"/>
      <c r="H50" s="4"/>
    </row>
    <row r="51" customFormat="false" ht="15.75" hidden="false" customHeight="false" outlineLevel="0" collapsed="false">
      <c r="B51" s="3" t="str">
        <f aca="false">IF(COUNTIF(Final_CB_ML3_V5!$B$2:$B$520,A51)&gt;=1,"YES","NO")</f>
        <v>NO</v>
      </c>
      <c r="D51" s="3" t="str">
        <f aca="false">IF(COUNTIF(Final_CB_ML3_V5!$C$2:$C$520,C51)&gt;=1,"YES","NO")</f>
        <v>NO</v>
      </c>
      <c r="G51" s="4"/>
      <c r="H51" s="4"/>
    </row>
    <row r="52" customFormat="false" ht="15.75" hidden="false" customHeight="false" outlineLevel="0" collapsed="false">
      <c r="B52" s="3" t="str">
        <f aca="false">IF(COUNTIF(Final_CB_ML3_V5!$B$2:$B$520,A52)&gt;=1,"YES","NO")</f>
        <v>NO</v>
      </c>
      <c r="D52" s="3" t="str">
        <f aca="false">IF(COUNTIF(Final_CB_ML3_V5!$C$2:$C$520,C52)&gt;=1,"YES","NO")</f>
        <v>NO</v>
      </c>
      <c r="G52" s="4"/>
      <c r="H52" s="4"/>
    </row>
    <row r="53" customFormat="false" ht="15.75" hidden="false" customHeight="false" outlineLevel="0" collapsed="false">
      <c r="B53" s="3" t="str">
        <f aca="false">IF(COUNTIF(Final_CB_ML3_V5!$B$2:$B$520,A53)&gt;=1,"YES","NO")</f>
        <v>NO</v>
      </c>
      <c r="D53" s="3" t="str">
        <f aca="false">IF(COUNTIF(Final_CB_ML3_V5!$C$2:$C$520,C53)&gt;=1,"YES","NO")</f>
        <v>NO</v>
      </c>
      <c r="G53" s="4"/>
      <c r="H53" s="4"/>
    </row>
    <row r="54" customFormat="false" ht="15.75" hidden="false" customHeight="false" outlineLevel="0" collapsed="false">
      <c r="B54" s="3" t="str">
        <f aca="false">IF(COUNTIF(Final_CB_ML3_V5!$B$2:$B$520,A54)&gt;=1,"YES","NO")</f>
        <v>NO</v>
      </c>
      <c r="D54" s="3" t="str">
        <f aca="false">IF(COUNTIF(Final_CB_ML3_V5!$C$2:$C$520,C54)&gt;=1,"YES","NO")</f>
        <v>NO</v>
      </c>
      <c r="G54" s="4"/>
      <c r="H54" s="4"/>
    </row>
    <row r="55" customFormat="false" ht="15.75" hidden="false" customHeight="false" outlineLevel="0" collapsed="false">
      <c r="B55" s="3" t="str">
        <f aca="false">IF(COUNTIF(Final_CB_ML3_V5!$B$2:$B$520,A55)&gt;=1,"YES","NO")</f>
        <v>NO</v>
      </c>
      <c r="D55" s="3" t="str">
        <f aca="false">IF(COUNTIF(Final_CB_ML3_V5!$C$2:$C$520,C55)&gt;=1,"YES","NO")</f>
        <v>NO</v>
      </c>
      <c r="G55" s="4"/>
      <c r="H55" s="4"/>
    </row>
    <row r="56" customFormat="false" ht="15.75" hidden="false" customHeight="false" outlineLevel="0" collapsed="false">
      <c r="B56" s="3" t="str">
        <f aca="false">IF(COUNTIF(Final_CB_ML3_V5!$B$2:$B$520,A56)&gt;=1,"YES","NO")</f>
        <v>NO</v>
      </c>
      <c r="D56" s="3" t="str">
        <f aca="false">IF(COUNTIF(Final_CB_ML3_V5!$C$2:$C$520,C56)&gt;=1,"YES","NO")</f>
        <v>NO</v>
      </c>
      <c r="G56" s="4"/>
      <c r="H56" s="4"/>
    </row>
    <row r="57" customFormat="false" ht="15.75" hidden="false" customHeight="false" outlineLevel="0" collapsed="false">
      <c r="B57" s="3" t="str">
        <f aca="false">IF(COUNTIF(Final_CB_ML3_V5!$B$2:$B$520,A57)&gt;=1,"YES","NO")</f>
        <v>NO</v>
      </c>
      <c r="D57" s="3" t="str">
        <f aca="false">IF(COUNTIF(Final_CB_ML3_V5!$C$2:$C$520,C57)&gt;=1,"YES","NO")</f>
        <v>NO</v>
      </c>
      <c r="G57" s="4"/>
      <c r="H57" s="4"/>
    </row>
    <row r="58" customFormat="false" ht="15.75" hidden="false" customHeight="false" outlineLevel="0" collapsed="false">
      <c r="B58" s="3" t="str">
        <f aca="false">IF(COUNTIF(Final_CB_ML3_V5!$B$2:$B$520,A58)&gt;=1,"YES","NO")</f>
        <v>NO</v>
      </c>
      <c r="D58" s="3" t="str">
        <f aca="false">IF(COUNTIF(Final_CB_ML3_V5!$C$2:$C$520,C58)&gt;=1,"YES","NO")</f>
        <v>NO</v>
      </c>
      <c r="G58" s="4"/>
      <c r="H58" s="4"/>
    </row>
    <row r="59" customFormat="false" ht="15.75" hidden="false" customHeight="false" outlineLevel="0" collapsed="false">
      <c r="B59" s="3" t="str">
        <f aca="false">IF(COUNTIF(Final_CB_ML3_V5!$B$2:$B$520,A59)&gt;=1,"YES","NO")</f>
        <v>NO</v>
      </c>
      <c r="D59" s="3" t="str">
        <f aca="false">IF(COUNTIF(Final_CB_ML3_V5!$C$2:$C$520,C59)&gt;=1,"YES","NO")</f>
        <v>NO</v>
      </c>
      <c r="G59" s="4"/>
      <c r="H59" s="4"/>
    </row>
    <row r="60" customFormat="false" ht="15.75" hidden="false" customHeight="false" outlineLevel="0" collapsed="false">
      <c r="B60" s="3" t="str">
        <f aca="false">IF(COUNTIF(Final_CB_ML3_V5!$B$2:$B$520,A60)&gt;=1,"YES","NO")</f>
        <v>NO</v>
      </c>
      <c r="D60" s="3" t="str">
        <f aca="false">IF(COUNTIF(Final_CB_ML3_V5!$C$2:$C$520,C60)&gt;=1,"YES","NO")</f>
        <v>NO</v>
      </c>
      <c r="G60" s="4"/>
      <c r="H60" s="4"/>
    </row>
    <row r="61" customFormat="false" ht="15.75" hidden="false" customHeight="false" outlineLevel="0" collapsed="false">
      <c r="B61" s="3" t="str">
        <f aca="false">IF(COUNTIF(Final_CB_ML3_V5!$B$2:$B$520,A61)&gt;=1,"YES","NO")</f>
        <v>NO</v>
      </c>
      <c r="D61" s="3" t="str">
        <f aca="false">IF(COUNTIF(Final_CB_ML3_V5!$C$2:$C$520,C61)&gt;=1,"YES","NO")</f>
        <v>NO</v>
      </c>
      <c r="G61" s="4"/>
      <c r="H61" s="4"/>
    </row>
    <row r="62" customFormat="false" ht="15.75" hidden="false" customHeight="false" outlineLevel="0" collapsed="false">
      <c r="B62" s="3" t="str">
        <f aca="false">IF(COUNTIF(Final_CB_ML3_V5!$B$2:$B$520,A62)&gt;=1,"YES","NO")</f>
        <v>NO</v>
      </c>
      <c r="D62" s="3" t="str">
        <f aca="false">IF(COUNTIF(Final_CB_ML3_V5!$C$2:$C$520,C62)&gt;=1,"YES","NO")</f>
        <v>NO</v>
      </c>
      <c r="G62" s="4"/>
      <c r="H62" s="4"/>
    </row>
    <row r="63" customFormat="false" ht="15.75" hidden="false" customHeight="false" outlineLevel="0" collapsed="false">
      <c r="B63" s="3" t="str">
        <f aca="false">IF(COUNTIF(Final_CB_ML3_V5!$B$2:$B$520,A63)&gt;=1,"YES","NO")</f>
        <v>NO</v>
      </c>
      <c r="D63" s="3" t="str">
        <f aca="false">IF(COUNTIF(Final_CB_ML3_V5!$C$2:$C$520,C63)&gt;=1,"YES","NO")</f>
        <v>NO</v>
      </c>
      <c r="G63" s="4"/>
      <c r="H63" s="4"/>
    </row>
    <row r="64" customFormat="false" ht="15.75" hidden="false" customHeight="false" outlineLevel="0" collapsed="false">
      <c r="B64" s="3" t="str">
        <f aca="false">IF(COUNTIF(Final_CB_ML3_V5!$B$2:$B$520,A64)&gt;=1,"YES","NO")</f>
        <v>NO</v>
      </c>
      <c r="D64" s="3" t="str">
        <f aca="false">IF(COUNTIF(Final_CB_ML3_V5!$C$2:$C$520,C64)&gt;=1,"YES","NO")</f>
        <v>NO</v>
      </c>
      <c r="G64" s="4"/>
      <c r="H64" s="4"/>
    </row>
    <row r="65" customFormat="false" ht="15.75" hidden="false" customHeight="false" outlineLevel="0" collapsed="false">
      <c r="B65" s="3" t="str">
        <f aca="false">IF(COUNTIF(Final_CB_ML3_V5!$B$2:$B$520,A65)&gt;=1,"YES","NO")</f>
        <v>NO</v>
      </c>
      <c r="D65" s="3" t="str">
        <f aca="false">IF(COUNTIF(Final_CB_ML3_V5!$C$2:$C$520,C65)&gt;=1,"YES","NO")</f>
        <v>NO</v>
      </c>
      <c r="G65" s="4"/>
      <c r="H65" s="4"/>
    </row>
    <row r="66" customFormat="false" ht="15.75" hidden="false" customHeight="false" outlineLevel="0" collapsed="false">
      <c r="B66" s="3" t="str">
        <f aca="false">IF(COUNTIF(Final_CB_ML3_V5!$B$2:$B$520,A66)&gt;=1,"YES","NO")</f>
        <v>NO</v>
      </c>
      <c r="D66" s="3" t="str">
        <f aca="false">IF(COUNTIF(Final_CB_ML3_V5!$C$2:$C$520,C66)&gt;=1,"YES","NO")</f>
        <v>NO</v>
      </c>
      <c r="G66" s="4"/>
      <c r="H66" s="4"/>
    </row>
    <row r="67" customFormat="false" ht="15.75" hidden="false" customHeight="false" outlineLevel="0" collapsed="false">
      <c r="B67" s="3" t="str">
        <f aca="false">IF(COUNTIF(Final_CB_ML3_V5!$B$2:$B$520,A67)&gt;=1,"YES","NO")</f>
        <v>NO</v>
      </c>
      <c r="D67" s="3" t="str">
        <f aca="false">IF(COUNTIF(Final_CB_ML3_V5!$C$2:$C$520,C67)&gt;=1,"YES","NO")</f>
        <v>NO</v>
      </c>
      <c r="G67" s="4"/>
      <c r="H67" s="4"/>
    </row>
    <row r="68" customFormat="false" ht="15.75" hidden="false" customHeight="false" outlineLevel="0" collapsed="false">
      <c r="B68" s="3" t="str">
        <f aca="false">IF(COUNTIF(Final_CB_ML3_V5!$B$2:$B$520,A68)&gt;=1,"YES","NO")</f>
        <v>NO</v>
      </c>
      <c r="D68" s="3" t="str">
        <f aca="false">IF(COUNTIF(Final_CB_ML3_V5!$C$2:$C$520,C68)&gt;=1,"YES","NO")</f>
        <v>NO</v>
      </c>
      <c r="G68" s="4"/>
      <c r="H68" s="4"/>
    </row>
    <row r="69" customFormat="false" ht="15.75" hidden="false" customHeight="false" outlineLevel="0" collapsed="false">
      <c r="B69" s="3" t="str">
        <f aca="false">IF(COUNTIF(Final_CB_ML3_V5!$B$2:$B$520,A69)&gt;=1,"YES","NO")</f>
        <v>NO</v>
      </c>
      <c r="D69" s="3" t="str">
        <f aca="false">IF(COUNTIF(Final_CB_ML3_V5!$C$2:$C$520,C69)&gt;=1,"YES","NO")</f>
        <v>NO</v>
      </c>
      <c r="G69" s="4"/>
      <c r="H69" s="4"/>
    </row>
    <row r="70" customFormat="false" ht="15.75" hidden="false" customHeight="false" outlineLevel="0" collapsed="false">
      <c r="B70" s="3" t="str">
        <f aca="false">IF(COUNTIF(Final_CB_ML3_V5!$B$2:$B$520,A70)&gt;=1,"YES","NO")</f>
        <v>NO</v>
      </c>
      <c r="D70" s="3" t="str">
        <f aca="false">IF(COUNTIF(Final_CB_ML3_V5!$C$2:$C$520,C70)&gt;=1,"YES","NO")</f>
        <v>NO</v>
      </c>
      <c r="G70" s="4"/>
      <c r="H70" s="4"/>
    </row>
    <row r="71" customFormat="false" ht="15.75" hidden="false" customHeight="false" outlineLevel="0" collapsed="false">
      <c r="B71" s="3" t="str">
        <f aca="false">IF(COUNTIF(Final_CB_ML3_V5!$B$2:$B$520,A71)&gt;=1,"YES","NO")</f>
        <v>NO</v>
      </c>
      <c r="D71" s="3" t="str">
        <f aca="false">IF(COUNTIF(Final_CB_ML3_V5!$C$2:$C$520,C71)&gt;=1,"YES","NO")</f>
        <v>NO</v>
      </c>
      <c r="G71" s="4"/>
      <c r="H71" s="4"/>
    </row>
    <row r="72" customFormat="false" ht="15.75" hidden="false" customHeight="false" outlineLevel="0" collapsed="false">
      <c r="B72" s="3" t="str">
        <f aca="false">IF(COUNTIF(Final_CB_ML3_V5!$B$2:$B$520,A72)&gt;=1,"YES","NO")</f>
        <v>NO</v>
      </c>
      <c r="D72" s="3" t="str">
        <f aca="false">IF(COUNTIF(Final_CB_ML3_V5!$C$2:$C$520,C72)&gt;=1,"YES","NO")</f>
        <v>NO</v>
      </c>
      <c r="G72" s="4"/>
      <c r="H72" s="4"/>
    </row>
    <row r="73" customFormat="false" ht="15.75" hidden="false" customHeight="false" outlineLevel="0" collapsed="false">
      <c r="B73" s="3" t="str">
        <f aca="false">IF(COUNTIF(Final_CB_ML3_V5!$B$2:$B$520,A73)&gt;=1,"YES","NO")</f>
        <v>NO</v>
      </c>
      <c r="D73" s="3" t="str">
        <f aca="false">IF(COUNTIF(Final_CB_ML3_V5!$C$2:$C$520,C73)&gt;=1,"YES","NO")</f>
        <v>NO</v>
      </c>
      <c r="G73" s="4"/>
      <c r="H73" s="4"/>
    </row>
    <row r="74" customFormat="false" ht="15.75" hidden="false" customHeight="false" outlineLevel="0" collapsed="false">
      <c r="B74" s="3" t="str">
        <f aca="false">IF(COUNTIF(Final_CB_ML3_V5!$B$2:$B$520,A74)&gt;=1,"YES","NO")</f>
        <v>NO</v>
      </c>
      <c r="D74" s="3" t="str">
        <f aca="false">IF(COUNTIF(Final_CB_ML3_V5!$C$2:$C$520,C74)&gt;=1,"YES","NO")</f>
        <v>NO</v>
      </c>
      <c r="G74" s="4"/>
      <c r="H74" s="4"/>
    </row>
    <row r="75" customFormat="false" ht="15.75" hidden="false" customHeight="false" outlineLevel="0" collapsed="false">
      <c r="B75" s="3" t="str">
        <f aca="false">IF(COUNTIF(Final_CB_ML3_V5!$B$2:$B$520,A75)&gt;=1,"YES","NO")</f>
        <v>NO</v>
      </c>
      <c r="D75" s="3" t="str">
        <f aca="false">IF(COUNTIF(Final_CB_ML3_V5!$C$2:$C$520,C75)&gt;=1,"YES","NO")</f>
        <v>NO</v>
      </c>
      <c r="G75" s="4"/>
      <c r="H75" s="4"/>
    </row>
    <row r="76" customFormat="false" ht="15.75" hidden="false" customHeight="false" outlineLevel="0" collapsed="false">
      <c r="B76" s="3" t="str">
        <f aca="false">IF(COUNTIF(Final_CB_ML3_V5!$B$2:$B$520,A76)&gt;=1,"YES","NO")</f>
        <v>NO</v>
      </c>
      <c r="D76" s="3" t="str">
        <f aca="false">IF(COUNTIF(Final_CB_ML3_V5!$C$2:$C$520,C76)&gt;=1,"YES","NO")</f>
        <v>NO</v>
      </c>
      <c r="G76" s="4"/>
      <c r="H76" s="4"/>
    </row>
    <row r="77" customFormat="false" ht="15.75" hidden="false" customHeight="false" outlineLevel="0" collapsed="false">
      <c r="B77" s="3" t="str">
        <f aca="false">IF(COUNTIF(Final_CB_ML3_V5!$B$2:$B$520,A77)&gt;=1,"YES","NO")</f>
        <v>NO</v>
      </c>
      <c r="D77" s="3" t="str">
        <f aca="false">IF(COUNTIF(Final_CB_ML3_V5!$C$2:$C$520,C77)&gt;=1,"YES","NO")</f>
        <v>NO</v>
      </c>
      <c r="G77" s="4"/>
      <c r="H77" s="4"/>
    </row>
    <row r="78" customFormat="false" ht="15.75" hidden="false" customHeight="false" outlineLevel="0" collapsed="false">
      <c r="B78" s="3" t="str">
        <f aca="false">IF(COUNTIF(Final_CB_ML3_V5!$B$2:$B$520,A78)&gt;=1,"YES","NO")</f>
        <v>NO</v>
      </c>
      <c r="D78" s="3" t="str">
        <f aca="false">IF(COUNTIF(Final_CB_ML3_V5!$C$2:$C$520,C78)&gt;=1,"YES","NO")</f>
        <v>NO</v>
      </c>
      <c r="G78" s="4"/>
      <c r="H78" s="4"/>
    </row>
    <row r="79" customFormat="false" ht="15.75" hidden="false" customHeight="false" outlineLevel="0" collapsed="false">
      <c r="B79" s="3" t="str">
        <f aca="false">IF(COUNTIF(Final_CB_ML3_V5!$B$2:$B$520,A79)&gt;=1,"YES","NO")</f>
        <v>NO</v>
      </c>
      <c r="D79" s="3" t="str">
        <f aca="false">IF(COUNTIF(Final_CB_ML3_V5!$C$2:$C$520,C79)&gt;=1,"YES","NO")</f>
        <v>NO</v>
      </c>
      <c r="G79" s="4"/>
      <c r="H79" s="4"/>
    </row>
    <row r="80" customFormat="false" ht="15.75" hidden="false" customHeight="false" outlineLevel="0" collapsed="false">
      <c r="B80" s="3" t="str">
        <f aca="false">IF(COUNTIF(Final_CB_ML3_V5!$B$2:$B$520,A80)&gt;=1,"YES","NO")</f>
        <v>NO</v>
      </c>
      <c r="D80" s="3" t="str">
        <f aca="false">IF(COUNTIF(Final_CB_ML3_V5!$C$2:$C$520,C80)&gt;=1,"YES","NO")</f>
        <v>NO</v>
      </c>
      <c r="G80" s="4"/>
      <c r="H80" s="4"/>
    </row>
    <row r="81" customFormat="false" ht="15.75" hidden="false" customHeight="false" outlineLevel="0" collapsed="false">
      <c r="B81" s="3" t="str">
        <f aca="false">IF(COUNTIF(Final_CB_ML3_V5!$B$2:$B$520,A81)&gt;=1,"YES","NO")</f>
        <v>NO</v>
      </c>
      <c r="D81" s="3" t="str">
        <f aca="false">IF(COUNTIF(Final_CB_ML3_V5!$C$2:$C$520,C81)&gt;=1,"YES","NO")</f>
        <v>NO</v>
      </c>
      <c r="G81" s="4"/>
      <c r="H81" s="4"/>
    </row>
    <row r="82" customFormat="false" ht="15.75" hidden="false" customHeight="false" outlineLevel="0" collapsed="false">
      <c r="B82" s="3" t="str">
        <f aca="false">IF(COUNTIF(Final_CB_ML3_V5!$B$2:$B$520,A82)&gt;=1,"YES","NO")</f>
        <v>NO</v>
      </c>
      <c r="D82" s="3" t="str">
        <f aca="false">IF(COUNTIF(Final_CB_ML3_V5!$C$2:$C$520,C82)&gt;=1,"YES","NO")</f>
        <v>NO</v>
      </c>
      <c r="G82" s="4"/>
      <c r="H82" s="4"/>
    </row>
    <row r="83" customFormat="false" ht="15.75" hidden="false" customHeight="false" outlineLevel="0" collapsed="false">
      <c r="B83" s="3" t="str">
        <f aca="false">IF(COUNTIF(Final_CB_ML3_V5!$B$2:$B$520,A83)&gt;=1,"YES","NO")</f>
        <v>NO</v>
      </c>
      <c r="D83" s="3" t="str">
        <f aca="false">IF(COUNTIF(Final_CB_ML3_V5!$C$2:$C$520,C83)&gt;=1,"YES","NO")</f>
        <v>NO</v>
      </c>
      <c r="G83" s="4"/>
      <c r="H83" s="4"/>
    </row>
    <row r="84" customFormat="false" ht="15.75" hidden="false" customHeight="false" outlineLevel="0" collapsed="false">
      <c r="B84" s="3" t="str">
        <f aca="false">IF(COUNTIF(Final_CB_ML3_V5!$B$2:$B$520,A84)&gt;=1,"YES","NO")</f>
        <v>NO</v>
      </c>
      <c r="D84" s="3" t="str">
        <f aca="false">IF(COUNTIF(Final_CB_ML3_V5!$C$2:$C$520,C84)&gt;=1,"YES","NO")</f>
        <v>NO</v>
      </c>
      <c r="G84" s="4"/>
      <c r="H84" s="4"/>
    </row>
    <row r="85" customFormat="false" ht="15.75" hidden="false" customHeight="false" outlineLevel="0" collapsed="false">
      <c r="B85" s="3" t="str">
        <f aca="false">IF(COUNTIF(Final_CB_ML3_V5!$B$2:$B$520,A85)&gt;=1,"YES","NO")</f>
        <v>NO</v>
      </c>
      <c r="D85" s="3" t="str">
        <f aca="false">IF(COUNTIF(Final_CB_ML3_V5!$C$2:$C$520,C85)&gt;=1,"YES","NO")</f>
        <v>NO</v>
      </c>
      <c r="G85" s="4"/>
      <c r="H85" s="4"/>
    </row>
    <row r="86" customFormat="false" ht="15.75" hidden="false" customHeight="false" outlineLevel="0" collapsed="false">
      <c r="B86" s="3" t="str">
        <f aca="false">IF(COUNTIF(Final_CB_ML3_V5!$B$2:$B$520,A86)&gt;=1,"YES","NO")</f>
        <v>NO</v>
      </c>
      <c r="D86" s="3" t="str">
        <f aca="false">IF(COUNTIF(Final_CB_ML3_V5!$C$2:$C$520,C86)&gt;=1,"YES","NO")</f>
        <v>NO</v>
      </c>
      <c r="G86" s="4"/>
      <c r="H86" s="4"/>
    </row>
    <row r="87" customFormat="false" ht="15.75" hidden="false" customHeight="false" outlineLevel="0" collapsed="false">
      <c r="B87" s="3" t="str">
        <f aca="false">IF(COUNTIF(Final_CB_ML3_V5!$B$2:$B$520,A87)&gt;=1,"YES","NO")</f>
        <v>NO</v>
      </c>
      <c r="D87" s="3" t="str">
        <f aca="false">IF(COUNTIF(Final_CB_ML3_V5!$C$2:$C$520,C87)&gt;=1,"YES","NO")</f>
        <v>NO</v>
      </c>
      <c r="G87" s="4"/>
      <c r="H87" s="4"/>
    </row>
    <row r="88" customFormat="false" ht="15.75" hidden="false" customHeight="false" outlineLevel="0" collapsed="false">
      <c r="B88" s="3" t="str">
        <f aca="false">IF(COUNTIF(Final_CB_ML3_V5!$B$2:$B$520,A88)&gt;=1,"YES","NO")</f>
        <v>NO</v>
      </c>
      <c r="D88" s="3" t="str">
        <f aca="false">IF(COUNTIF(Final_CB_ML3_V5!$C$2:$C$520,C88)&gt;=1,"YES","NO")</f>
        <v>NO</v>
      </c>
      <c r="G88" s="4"/>
      <c r="H88" s="4"/>
    </row>
    <row r="89" customFormat="false" ht="15.75" hidden="false" customHeight="false" outlineLevel="0" collapsed="false">
      <c r="B89" s="3" t="str">
        <f aca="false">IF(COUNTIF(Final_CB_ML3_V5!$B$2:$B$520,A89)&gt;=1,"YES","NO")</f>
        <v>NO</v>
      </c>
      <c r="D89" s="3" t="str">
        <f aca="false">IF(COUNTIF(Final_CB_ML3_V5!$C$2:$C$520,C89)&gt;=1,"YES","NO")</f>
        <v>NO</v>
      </c>
      <c r="G89" s="4"/>
      <c r="H89" s="4"/>
    </row>
    <row r="90" customFormat="false" ht="15.75" hidden="false" customHeight="false" outlineLevel="0" collapsed="false">
      <c r="B90" s="3" t="str">
        <f aca="false">IF(COUNTIF(Final_CB_ML3_V5!$B$2:$B$520,A90)&gt;=1,"YES","NO")</f>
        <v>NO</v>
      </c>
      <c r="D90" s="3" t="str">
        <f aca="false">IF(COUNTIF(Final_CB_ML3_V5!$C$2:$C$520,C90)&gt;=1,"YES","NO")</f>
        <v>NO</v>
      </c>
      <c r="G90" s="4"/>
      <c r="H90" s="4"/>
    </row>
    <row r="91" customFormat="false" ht="15.75" hidden="false" customHeight="false" outlineLevel="0" collapsed="false">
      <c r="B91" s="3" t="str">
        <f aca="false">IF(COUNTIF(Final_CB_ML3_V5!$B$2:$B$520,A91)&gt;=1,"YES","NO")</f>
        <v>NO</v>
      </c>
      <c r="D91" s="3" t="str">
        <f aca="false">IF(COUNTIF(Final_CB_ML3_V5!$C$2:$C$520,C91)&gt;=1,"YES","NO")</f>
        <v>NO</v>
      </c>
      <c r="G91" s="4"/>
      <c r="H91" s="4"/>
    </row>
    <row r="92" customFormat="false" ht="15.75" hidden="false" customHeight="false" outlineLevel="0" collapsed="false">
      <c r="B92" s="3" t="str">
        <f aca="false">IF(COUNTIF(Final_CB_ML3_V5!$B$2:$B$520,A92)&gt;=1,"YES","NO")</f>
        <v>NO</v>
      </c>
      <c r="D92" s="3" t="str">
        <f aca="false">IF(COUNTIF(Final_CB_ML3_V5!$C$2:$C$520,C92)&gt;=1,"YES","NO")</f>
        <v>NO</v>
      </c>
      <c r="G92" s="4"/>
      <c r="H92" s="4"/>
    </row>
    <row r="93" customFormat="false" ht="15.75" hidden="false" customHeight="false" outlineLevel="0" collapsed="false">
      <c r="B93" s="3" t="str">
        <f aca="false">IF(COUNTIF(Final_CB_ML3_V5!$B$2:$B$520,A93)&gt;=1,"YES","NO")</f>
        <v>NO</v>
      </c>
      <c r="D93" s="3" t="str">
        <f aca="false">IF(COUNTIF(Final_CB_ML3_V5!$C$2:$C$520,C93)&gt;=1,"YES","NO")</f>
        <v>NO</v>
      </c>
      <c r="G93" s="4"/>
      <c r="H93" s="4"/>
    </row>
    <row r="94" customFormat="false" ht="15.75" hidden="false" customHeight="false" outlineLevel="0" collapsed="false">
      <c r="B94" s="3" t="str">
        <f aca="false">IF(COUNTIF(Final_CB_ML3_V5!$B$2:$B$520,A94)&gt;=1,"YES","NO")</f>
        <v>NO</v>
      </c>
      <c r="D94" s="3" t="str">
        <f aca="false">IF(COUNTIF(Final_CB_ML3_V5!$C$2:$C$520,C94)&gt;=1,"YES","NO")</f>
        <v>NO</v>
      </c>
      <c r="G94" s="4"/>
      <c r="H94" s="4"/>
    </row>
    <row r="95" customFormat="false" ht="15.75" hidden="false" customHeight="false" outlineLevel="0" collapsed="false">
      <c r="B95" s="3" t="str">
        <f aca="false">IF(COUNTIF(Final_CB_ML3_V5!$B$2:$B$520,A95)&gt;=1,"YES","NO")</f>
        <v>NO</v>
      </c>
      <c r="D95" s="3" t="str">
        <f aca="false">IF(COUNTIF(Final_CB_ML3_V5!$C$2:$C$520,C95)&gt;=1,"YES","NO")</f>
        <v>NO</v>
      </c>
      <c r="G95" s="4"/>
      <c r="H95" s="4"/>
    </row>
    <row r="96" customFormat="false" ht="15.75" hidden="false" customHeight="false" outlineLevel="0" collapsed="false">
      <c r="B96" s="3" t="str">
        <f aca="false">IF(COUNTIF(Final_CB_ML3_V5!$B$2:$B$520,A96)&gt;=1,"YES","NO")</f>
        <v>NO</v>
      </c>
      <c r="D96" s="3" t="str">
        <f aca="false">IF(COUNTIF(Final_CB_ML3_V5!$C$2:$C$520,C96)&gt;=1,"YES","NO")</f>
        <v>NO</v>
      </c>
      <c r="G96" s="4"/>
      <c r="H96" s="4"/>
    </row>
    <row r="97" customFormat="false" ht="15.75" hidden="false" customHeight="false" outlineLevel="0" collapsed="false">
      <c r="B97" s="3" t="str">
        <f aca="false">IF(COUNTIF(Final_CB_ML3_V5!$B$2:$B$520,A97)&gt;=1,"YES","NO")</f>
        <v>NO</v>
      </c>
      <c r="D97" s="3" t="str">
        <f aca="false">IF(COUNTIF(Final_CB_ML3_V5!$C$2:$C$520,C97)&gt;=1,"YES","NO")</f>
        <v>NO</v>
      </c>
      <c r="G97" s="4"/>
      <c r="H97" s="4"/>
    </row>
    <row r="98" customFormat="false" ht="15.75" hidden="false" customHeight="false" outlineLevel="0" collapsed="false">
      <c r="B98" s="3" t="str">
        <f aca="false">IF(COUNTIF(Final_CB_ML3_V5!$B$2:$B$520,A98)&gt;=1,"YES","NO")</f>
        <v>NO</v>
      </c>
      <c r="D98" s="3" t="str">
        <f aca="false">IF(COUNTIF(Final_CB_ML3_V5!$C$2:$C$520,C98)&gt;=1,"YES","NO")</f>
        <v>NO</v>
      </c>
      <c r="G98" s="4"/>
      <c r="H98" s="4"/>
    </row>
    <row r="99" customFormat="false" ht="15.75" hidden="false" customHeight="false" outlineLevel="0" collapsed="false">
      <c r="B99" s="3" t="str">
        <f aca="false">IF(COUNTIF(Final_CB_ML3_V5!$B$2:$B$520,A99)&gt;=1,"YES","NO")</f>
        <v>NO</v>
      </c>
      <c r="D99" s="3" t="str">
        <f aca="false">IF(COUNTIF(Final_CB_ML3_V5!$C$2:$C$520,C99)&gt;=1,"YES","NO")</f>
        <v>NO</v>
      </c>
      <c r="G99" s="4"/>
      <c r="H99" s="4"/>
    </row>
    <row r="100" customFormat="false" ht="15.75" hidden="false" customHeight="false" outlineLevel="0" collapsed="false">
      <c r="B100" s="3" t="str">
        <f aca="false">IF(COUNTIF(Final_CB_ML3_V5!$B$2:$B$520,A100)&gt;=1,"YES","NO")</f>
        <v>NO</v>
      </c>
      <c r="D100" s="3" t="str">
        <f aca="false">IF(COUNTIF(Final_CB_ML3_V5!$C$2:$C$520,C100)&gt;=1,"YES","NO")</f>
        <v>NO</v>
      </c>
      <c r="G100" s="4"/>
      <c r="H100" s="4"/>
    </row>
    <row r="101" customFormat="false" ht="15.75" hidden="false" customHeight="false" outlineLevel="0" collapsed="false">
      <c r="B101" s="3" t="str">
        <f aca="false">IF(COUNTIF(Final_CB_ML3_V5!$B$2:$B$520,A101)&gt;=1,"YES","NO")</f>
        <v>NO</v>
      </c>
      <c r="D101" s="3" t="str">
        <f aca="false">IF(COUNTIF(Final_CB_ML3_V5!$C$2:$C$520,C101)&gt;=1,"YES","NO")</f>
        <v>NO</v>
      </c>
      <c r="G101" s="4"/>
      <c r="H101" s="4"/>
    </row>
    <row r="102" customFormat="false" ht="15.75" hidden="false" customHeight="false" outlineLevel="0" collapsed="false">
      <c r="B102" s="3" t="str">
        <f aca="false">IF(COUNTIF(Final_CB_ML3_V5!$B$2:$B$520,A102)&gt;=1,"YES","NO")</f>
        <v>NO</v>
      </c>
      <c r="D102" s="3" t="str">
        <f aca="false">IF(COUNTIF(Final_CB_ML3_V5!$C$2:$C$520,C102)&gt;=1,"YES","NO")</f>
        <v>NO</v>
      </c>
      <c r="G102" s="4"/>
      <c r="H102" s="4"/>
    </row>
    <row r="103" customFormat="false" ht="15.75" hidden="false" customHeight="false" outlineLevel="0" collapsed="false">
      <c r="B103" s="3" t="str">
        <f aca="false">IF(COUNTIF(Final_CB_ML3_V5!$B$2:$B$520,A103)&gt;=1,"YES","NO")</f>
        <v>NO</v>
      </c>
      <c r="D103" s="3" t="str">
        <f aca="false">IF(COUNTIF(Final_CB_ML3_V5!$C$2:$C$520,C103)&gt;=1,"YES","NO")</f>
        <v>NO</v>
      </c>
      <c r="G103" s="4"/>
      <c r="H103" s="4"/>
    </row>
    <row r="104" customFormat="false" ht="15.75" hidden="false" customHeight="false" outlineLevel="0" collapsed="false">
      <c r="B104" s="3" t="str">
        <f aca="false">IF(COUNTIF(Final_CB_ML3_V5!$B$2:$B$520,A104)&gt;=1,"YES","NO")</f>
        <v>NO</v>
      </c>
      <c r="D104" s="3" t="str">
        <f aca="false">IF(COUNTIF(Final_CB_ML3_V5!$C$2:$C$520,C104)&gt;=1,"YES","NO")</f>
        <v>NO</v>
      </c>
      <c r="G104" s="4"/>
      <c r="H104" s="4"/>
    </row>
    <row r="105" customFormat="false" ht="15.75" hidden="false" customHeight="false" outlineLevel="0" collapsed="false">
      <c r="B105" s="3" t="str">
        <f aca="false">IF(COUNTIF(Final_CB_ML3_V5!$B$2:$B$520,A105)&gt;=1,"YES","NO")</f>
        <v>NO</v>
      </c>
      <c r="D105" s="3" t="str">
        <f aca="false">IF(COUNTIF(Final_CB_ML3_V5!$C$2:$C$520,C105)&gt;=1,"YES","NO")</f>
        <v>NO</v>
      </c>
      <c r="G105" s="4"/>
      <c r="H105" s="4"/>
    </row>
    <row r="106" customFormat="false" ht="15.75" hidden="false" customHeight="false" outlineLevel="0" collapsed="false">
      <c r="B106" s="3" t="str">
        <f aca="false">IF(COUNTIF(Final_CB_ML3_V5!$B$2:$B$520,A106)&gt;=1,"YES","NO")</f>
        <v>NO</v>
      </c>
      <c r="D106" s="3" t="str">
        <f aca="false">IF(COUNTIF(Final_CB_ML3_V5!$C$2:$C$520,C106)&gt;=1,"YES","NO")</f>
        <v>NO</v>
      </c>
      <c r="G106" s="4"/>
      <c r="H106" s="4"/>
    </row>
    <row r="107" customFormat="false" ht="15.75" hidden="false" customHeight="false" outlineLevel="0" collapsed="false">
      <c r="B107" s="3" t="str">
        <f aca="false">IF(COUNTIF(Final_CB_ML3_V5!$B$2:$B$520,A107)&gt;=1,"YES","NO")</f>
        <v>NO</v>
      </c>
      <c r="D107" s="3" t="str">
        <f aca="false">IF(COUNTIF(Final_CB_ML3_V5!$C$2:$C$520,C107)&gt;=1,"YES","NO")</f>
        <v>NO</v>
      </c>
      <c r="G107" s="4"/>
      <c r="H107" s="4"/>
    </row>
    <row r="108" customFormat="false" ht="15.75" hidden="false" customHeight="false" outlineLevel="0" collapsed="false">
      <c r="B108" s="3" t="str">
        <f aca="false">IF(COUNTIF(Final_CB_ML3_V5!$B$2:$B$520,A108)&gt;=1,"YES","NO")</f>
        <v>NO</v>
      </c>
      <c r="D108" s="3" t="str">
        <f aca="false">IF(COUNTIF(Final_CB_ML3_V5!$C$2:$C$520,C108)&gt;=1,"YES","NO")</f>
        <v>NO</v>
      </c>
      <c r="G108" s="4"/>
      <c r="H108" s="4"/>
    </row>
    <row r="109" customFormat="false" ht="15.75" hidden="false" customHeight="false" outlineLevel="0" collapsed="false">
      <c r="B109" s="3" t="str">
        <f aca="false">IF(COUNTIF(Final_CB_ML3_V5!$B$2:$B$520,A109)&gt;=1,"YES","NO")</f>
        <v>NO</v>
      </c>
      <c r="D109" s="3" t="str">
        <f aca="false">IF(COUNTIF(Final_CB_ML3_V5!$C$2:$C$520,C109)&gt;=1,"YES","NO")</f>
        <v>NO</v>
      </c>
      <c r="G109" s="4"/>
      <c r="H109" s="4"/>
    </row>
    <row r="110" customFormat="false" ht="15.75" hidden="false" customHeight="false" outlineLevel="0" collapsed="false">
      <c r="B110" s="3" t="str">
        <f aca="false">IF(COUNTIF(Final_CB_ML3_V5!$B$2:$B$520,A110)&gt;=1,"YES","NO")</f>
        <v>NO</v>
      </c>
      <c r="D110" s="3" t="str">
        <f aca="false">IF(COUNTIF(Final_CB_ML3_V5!$C$2:$C$520,C110)&gt;=1,"YES","NO")</f>
        <v>NO</v>
      </c>
      <c r="G110" s="4"/>
      <c r="H110" s="4"/>
    </row>
    <row r="111" customFormat="false" ht="15.75" hidden="false" customHeight="false" outlineLevel="0" collapsed="false">
      <c r="B111" s="3" t="str">
        <f aca="false">IF(COUNTIF(Final_CB_ML3_V5!$B$2:$B$520,A111)&gt;=1,"YES","NO")</f>
        <v>NO</v>
      </c>
      <c r="D111" s="3" t="str">
        <f aca="false">IF(COUNTIF(Final_CB_ML3_V5!$C$2:$C$520,C111)&gt;=1,"YES","NO")</f>
        <v>NO</v>
      </c>
      <c r="G111" s="4"/>
      <c r="H111" s="4"/>
    </row>
    <row r="112" customFormat="false" ht="15.75" hidden="false" customHeight="false" outlineLevel="0" collapsed="false">
      <c r="B112" s="3" t="str">
        <f aca="false">IF(COUNTIF(Final_CB_ML3_V5!$B$2:$B$520,A112)&gt;=1,"YES","NO")</f>
        <v>NO</v>
      </c>
      <c r="D112" s="3" t="str">
        <f aca="false">IF(COUNTIF(Final_CB_ML3_V5!$C$2:$C$520,C112)&gt;=1,"YES","NO")</f>
        <v>NO</v>
      </c>
      <c r="G112" s="4"/>
      <c r="H112" s="4"/>
    </row>
    <row r="113" customFormat="false" ht="15.75" hidden="false" customHeight="false" outlineLevel="0" collapsed="false">
      <c r="B113" s="3" t="str">
        <f aca="false">IF(COUNTIF(Final_CB_ML3_V5!$B$2:$B$520,A113)&gt;=1,"YES","NO")</f>
        <v>NO</v>
      </c>
      <c r="D113" s="3" t="str">
        <f aca="false">IF(COUNTIF(Final_CB_ML3_V5!$C$2:$C$520,C113)&gt;=1,"YES","NO")</f>
        <v>NO</v>
      </c>
      <c r="G113" s="4"/>
      <c r="H113" s="4"/>
    </row>
    <row r="114" customFormat="false" ht="15.75" hidden="false" customHeight="false" outlineLevel="0" collapsed="false">
      <c r="B114" s="3" t="str">
        <f aca="false">IF(COUNTIF(Final_CB_ML3_V5!$B$2:$B$520,A114)&gt;=1,"YES","NO")</f>
        <v>NO</v>
      </c>
      <c r="D114" s="3" t="str">
        <f aca="false">IF(COUNTIF(Final_CB_ML3_V5!$C$2:$C$520,C114)&gt;=1,"YES","NO")</f>
        <v>NO</v>
      </c>
      <c r="G114" s="4"/>
      <c r="H114" s="4"/>
    </row>
    <row r="115" customFormat="false" ht="15.75" hidden="false" customHeight="false" outlineLevel="0" collapsed="false">
      <c r="B115" s="3" t="str">
        <f aca="false">IF(COUNTIF(Final_CB_ML3_V5!$B$2:$B$520,A115)&gt;=1,"YES","NO")</f>
        <v>NO</v>
      </c>
      <c r="D115" s="3" t="str">
        <f aca="false">IF(COUNTIF(Final_CB_ML3_V5!$C$2:$C$520,C115)&gt;=1,"YES","NO")</f>
        <v>NO</v>
      </c>
      <c r="G115" s="4"/>
      <c r="H115" s="4"/>
    </row>
    <row r="116" customFormat="false" ht="15.75" hidden="false" customHeight="false" outlineLevel="0" collapsed="false">
      <c r="B116" s="3" t="str">
        <f aca="false">IF(COUNTIF(Final_CB_ML3_V5!$B$2:$B$520,A116)&gt;=1,"YES","NO")</f>
        <v>NO</v>
      </c>
      <c r="D116" s="3" t="str">
        <f aca="false">IF(COUNTIF(Final_CB_ML3_V5!$C$2:$C$520,C116)&gt;=1,"YES","NO")</f>
        <v>NO</v>
      </c>
      <c r="G116" s="4"/>
      <c r="H116" s="4"/>
    </row>
    <row r="117" customFormat="false" ht="15.75" hidden="false" customHeight="false" outlineLevel="0" collapsed="false">
      <c r="B117" s="3" t="str">
        <f aca="false">IF(COUNTIF(Final_CB_ML3_V5!$B$2:$B$520,A117)&gt;=1,"YES","NO")</f>
        <v>NO</v>
      </c>
      <c r="D117" s="3" t="str">
        <f aca="false">IF(COUNTIF(Final_CB_ML3_V5!$C$2:$C$520,C117)&gt;=1,"YES","NO")</f>
        <v>NO</v>
      </c>
      <c r="G117" s="4"/>
      <c r="H117" s="4"/>
    </row>
    <row r="118" customFormat="false" ht="15.75" hidden="false" customHeight="false" outlineLevel="0" collapsed="false">
      <c r="B118" s="3" t="str">
        <f aca="false">IF(COUNTIF(Final_CB_ML3_V5!$B$2:$B$520,A118)&gt;=1,"YES","NO")</f>
        <v>NO</v>
      </c>
      <c r="D118" s="3" t="str">
        <f aca="false">IF(COUNTIF(Final_CB_ML3_V5!$C$2:$C$520,C118)&gt;=1,"YES","NO")</f>
        <v>NO</v>
      </c>
      <c r="G118" s="4"/>
      <c r="H118" s="4"/>
    </row>
    <row r="119" customFormat="false" ht="15.75" hidden="false" customHeight="false" outlineLevel="0" collapsed="false">
      <c r="B119" s="3" t="str">
        <f aca="false">IF(COUNTIF(Final_CB_ML3_V5!$B$2:$B$520,A119)&gt;=1,"YES","NO")</f>
        <v>NO</v>
      </c>
      <c r="D119" s="3" t="str">
        <f aca="false">IF(COUNTIF(Final_CB_ML3_V5!$C$2:$C$520,C119)&gt;=1,"YES","NO")</f>
        <v>NO</v>
      </c>
      <c r="G119" s="4"/>
      <c r="H119" s="4"/>
    </row>
    <row r="120" customFormat="false" ht="15.75" hidden="false" customHeight="false" outlineLevel="0" collapsed="false">
      <c r="B120" s="3" t="str">
        <f aca="false">IF(COUNTIF(Final_CB_ML3_V5!$B$2:$B$520,A120)&gt;=1,"YES","NO")</f>
        <v>NO</v>
      </c>
      <c r="D120" s="3" t="str">
        <f aca="false">IF(COUNTIF(Final_CB_ML3_V5!$C$2:$C$520,C120)&gt;=1,"YES","NO")</f>
        <v>NO</v>
      </c>
      <c r="G120" s="4"/>
      <c r="H120" s="4"/>
    </row>
    <row r="121" customFormat="false" ht="15.75" hidden="false" customHeight="false" outlineLevel="0" collapsed="false">
      <c r="B121" s="3" t="str">
        <f aca="false">IF(COUNTIF(Final_CB_ML3_V5!$B$2:$B$520,A121)&gt;=1,"YES","NO")</f>
        <v>NO</v>
      </c>
      <c r="D121" s="3" t="str">
        <f aca="false">IF(COUNTIF(Final_CB_ML3_V5!$C$2:$C$520,C121)&gt;=1,"YES","NO")</f>
        <v>NO</v>
      </c>
      <c r="G121" s="4"/>
      <c r="H121" s="4"/>
    </row>
    <row r="122" customFormat="false" ht="15.75" hidden="false" customHeight="false" outlineLevel="0" collapsed="false">
      <c r="B122" s="3" t="str">
        <f aca="false">IF(COUNTIF(Final_CB_ML3_V5!$B$2:$B$520,A122)&gt;=1,"YES","NO")</f>
        <v>NO</v>
      </c>
      <c r="D122" s="3" t="str">
        <f aca="false">IF(COUNTIF(Final_CB_ML3_V5!$C$2:$C$520,C122)&gt;=1,"YES","NO")</f>
        <v>NO</v>
      </c>
      <c r="G122" s="4"/>
      <c r="H122" s="4"/>
    </row>
    <row r="123" customFormat="false" ht="15.75" hidden="false" customHeight="false" outlineLevel="0" collapsed="false">
      <c r="B123" s="3" t="str">
        <f aca="false">IF(COUNTIF(Final_CB_ML3_V5!$B$2:$B$520,A123)&gt;=1,"YES","NO")</f>
        <v>NO</v>
      </c>
      <c r="D123" s="3" t="str">
        <f aca="false">IF(COUNTIF(Final_CB_ML3_V5!$C$2:$C$520,C123)&gt;=1,"YES","NO")</f>
        <v>NO</v>
      </c>
      <c r="G123" s="4"/>
      <c r="H123" s="4"/>
    </row>
    <row r="124" customFormat="false" ht="15.75" hidden="false" customHeight="false" outlineLevel="0" collapsed="false">
      <c r="B124" s="3" t="str">
        <f aca="false">IF(COUNTIF(Final_CB_ML3_V5!$B$2:$B$520,A124)&gt;=1,"YES","NO")</f>
        <v>NO</v>
      </c>
      <c r="D124" s="3" t="str">
        <f aca="false">IF(COUNTIF(Final_CB_ML3_V5!$C$2:$C$520,C124)&gt;=1,"YES","NO")</f>
        <v>NO</v>
      </c>
      <c r="G124" s="4"/>
      <c r="H124" s="4"/>
    </row>
    <row r="125" customFormat="false" ht="15.75" hidden="false" customHeight="false" outlineLevel="0" collapsed="false">
      <c r="B125" s="3" t="str">
        <f aca="false">IF(COUNTIF(Final_CB_ML3_V5!$B$2:$B$520,A125)&gt;=1,"YES","NO")</f>
        <v>NO</v>
      </c>
      <c r="D125" s="3" t="str">
        <f aca="false">IF(COUNTIF(Final_CB_ML3_V5!$C$2:$C$520,C125)&gt;=1,"YES","NO")</f>
        <v>NO</v>
      </c>
      <c r="G125" s="4"/>
      <c r="H125" s="4"/>
    </row>
    <row r="126" customFormat="false" ht="15.75" hidden="false" customHeight="false" outlineLevel="0" collapsed="false">
      <c r="B126" s="3" t="str">
        <f aca="false">IF(COUNTIF(Final_CB_ML3_V5!$B$2:$B$520,A126)&gt;=1,"YES","NO")</f>
        <v>NO</v>
      </c>
      <c r="D126" s="3" t="str">
        <f aca="false">IF(COUNTIF(Final_CB_ML3_V5!$C$2:$C$520,C126)&gt;=1,"YES","NO")</f>
        <v>NO</v>
      </c>
      <c r="G126" s="4"/>
      <c r="H126" s="4"/>
    </row>
    <row r="127" customFormat="false" ht="15.75" hidden="false" customHeight="false" outlineLevel="0" collapsed="false">
      <c r="B127" s="3" t="str">
        <f aca="false">IF(COUNTIF(Final_CB_ML3_V5!$B$2:$B$520,A127)&gt;=1,"YES","NO")</f>
        <v>NO</v>
      </c>
      <c r="D127" s="3" t="str">
        <f aca="false">IF(COUNTIF(Final_CB_ML3_V5!$C$2:$C$520,C127)&gt;=1,"YES","NO")</f>
        <v>NO</v>
      </c>
      <c r="G127" s="4"/>
      <c r="H127" s="4"/>
    </row>
    <row r="128" customFormat="false" ht="15.75" hidden="false" customHeight="false" outlineLevel="0" collapsed="false">
      <c r="B128" s="3" t="str">
        <f aca="false">IF(COUNTIF(Final_CB_ML3_V5!$B$2:$B$520,A128)&gt;=1,"YES","NO")</f>
        <v>NO</v>
      </c>
      <c r="D128" s="3" t="str">
        <f aca="false">IF(COUNTIF(Final_CB_ML3_V5!$C$2:$C$520,C128)&gt;=1,"YES","NO")</f>
        <v>NO</v>
      </c>
      <c r="G128" s="4"/>
      <c r="H128" s="4"/>
    </row>
    <row r="129" customFormat="false" ht="15.75" hidden="false" customHeight="false" outlineLevel="0" collapsed="false">
      <c r="B129" s="3" t="str">
        <f aca="false">IF(COUNTIF(Final_CB_ML3_V5!$B$2:$B$520,A129)&gt;=1,"YES","NO")</f>
        <v>NO</v>
      </c>
      <c r="D129" s="3" t="str">
        <f aca="false">IF(COUNTIF(Final_CB_ML3_V5!$C$2:$C$520,C129)&gt;=1,"YES","NO")</f>
        <v>NO</v>
      </c>
      <c r="G129" s="4"/>
      <c r="H129" s="4"/>
    </row>
    <row r="130" customFormat="false" ht="15.75" hidden="false" customHeight="false" outlineLevel="0" collapsed="false">
      <c r="B130" s="3" t="str">
        <f aca="false">IF(COUNTIF(Final_CB_ML3_V5!$B$2:$B$520,A130)&gt;=1,"YES","NO")</f>
        <v>NO</v>
      </c>
      <c r="D130" s="3" t="str">
        <f aca="false">IF(COUNTIF(Final_CB_ML3_V5!$C$2:$C$520,C130)&gt;=1,"YES","NO")</f>
        <v>NO</v>
      </c>
      <c r="G130" s="4"/>
      <c r="H130" s="4"/>
    </row>
    <row r="131" customFormat="false" ht="15.75" hidden="false" customHeight="false" outlineLevel="0" collapsed="false">
      <c r="B131" s="3" t="str">
        <f aca="false">IF(COUNTIF(Final_CB_ML3_V5!$B$2:$B$520,A131)&gt;=1,"YES","NO")</f>
        <v>NO</v>
      </c>
      <c r="D131" s="3" t="str">
        <f aca="false">IF(COUNTIF(Final_CB_ML3_V5!$C$2:$C$520,C131)&gt;=1,"YES","NO")</f>
        <v>NO</v>
      </c>
      <c r="G131" s="4"/>
      <c r="H131" s="4"/>
    </row>
    <row r="132" customFormat="false" ht="15.75" hidden="false" customHeight="false" outlineLevel="0" collapsed="false">
      <c r="B132" s="3" t="str">
        <f aca="false">IF(COUNTIF(Final_CB_ML3_V5!$B$2:$B$520,A132)&gt;=1,"YES","NO")</f>
        <v>NO</v>
      </c>
      <c r="D132" s="3" t="str">
        <f aca="false">IF(COUNTIF(Final_CB_ML3_V5!$C$2:$C$520,C132)&gt;=1,"YES","NO")</f>
        <v>NO</v>
      </c>
      <c r="G132" s="4"/>
      <c r="H132" s="4"/>
    </row>
    <row r="133" customFormat="false" ht="15.75" hidden="false" customHeight="false" outlineLevel="0" collapsed="false">
      <c r="B133" s="3" t="str">
        <f aca="false">IF(COUNTIF(Final_CB_ML3_V5!$B$2:$B$520,A133)&gt;=1,"YES","NO")</f>
        <v>NO</v>
      </c>
      <c r="D133" s="3" t="str">
        <f aca="false">IF(COUNTIF(Final_CB_ML3_V5!$C$2:$C$520,C133)&gt;=1,"YES","NO")</f>
        <v>NO</v>
      </c>
      <c r="G133" s="4"/>
      <c r="H133" s="4"/>
    </row>
    <row r="134" customFormat="false" ht="15.75" hidden="false" customHeight="false" outlineLevel="0" collapsed="false">
      <c r="B134" s="3" t="str">
        <f aca="false">IF(COUNTIF(Final_CB_ML3_V5!$B$2:$B$520,A134)&gt;=1,"YES","NO")</f>
        <v>NO</v>
      </c>
      <c r="D134" s="3" t="str">
        <f aca="false">IF(COUNTIF(Final_CB_ML3_V5!$C$2:$C$520,C134)&gt;=1,"YES","NO")</f>
        <v>NO</v>
      </c>
      <c r="G134" s="4"/>
      <c r="H134" s="4"/>
    </row>
    <row r="135" customFormat="false" ht="15.75" hidden="false" customHeight="false" outlineLevel="0" collapsed="false">
      <c r="B135" s="3" t="str">
        <f aca="false">IF(COUNTIF(Final_CB_ML3_V5!$B$2:$B$520,A135)&gt;=1,"YES","NO")</f>
        <v>NO</v>
      </c>
      <c r="D135" s="3" t="str">
        <f aca="false">IF(COUNTIF(Final_CB_ML3_V5!$C$2:$C$520,C135)&gt;=1,"YES","NO")</f>
        <v>NO</v>
      </c>
      <c r="G135" s="4"/>
      <c r="H135" s="4"/>
    </row>
    <row r="136" customFormat="false" ht="15.75" hidden="false" customHeight="false" outlineLevel="0" collapsed="false">
      <c r="B136" s="3" t="str">
        <f aca="false">IF(COUNTIF(Final_CB_ML3_V5!$B$2:$B$520,A136)&gt;=1,"YES","NO")</f>
        <v>NO</v>
      </c>
      <c r="D136" s="3" t="str">
        <f aca="false">IF(COUNTIF(Final_CB_ML3_V5!$C$2:$C$520,C136)&gt;=1,"YES","NO")</f>
        <v>NO</v>
      </c>
      <c r="G136" s="4"/>
      <c r="H136" s="4"/>
    </row>
    <row r="137" customFormat="false" ht="15.75" hidden="false" customHeight="false" outlineLevel="0" collapsed="false">
      <c r="B137" s="3" t="str">
        <f aca="false">IF(COUNTIF(Final_CB_ML3_V5!$B$2:$B$520,A137)&gt;=1,"YES","NO")</f>
        <v>NO</v>
      </c>
      <c r="D137" s="3" t="str">
        <f aca="false">IF(COUNTIF(Final_CB_ML3_V5!$C$2:$C$520,C137)&gt;=1,"YES","NO")</f>
        <v>NO</v>
      </c>
      <c r="G137" s="4"/>
      <c r="H137" s="4"/>
    </row>
    <row r="138" customFormat="false" ht="15.75" hidden="false" customHeight="false" outlineLevel="0" collapsed="false">
      <c r="B138" s="3" t="str">
        <f aca="false">IF(COUNTIF(Final_CB_ML3_V5!$B$2:$B$520,A138)&gt;=1,"YES","NO")</f>
        <v>NO</v>
      </c>
      <c r="D138" s="3" t="str">
        <f aca="false">IF(COUNTIF(Final_CB_ML3_V5!$C$2:$C$520,C138)&gt;=1,"YES","NO")</f>
        <v>NO</v>
      </c>
      <c r="G138" s="4"/>
      <c r="H138" s="4"/>
    </row>
    <row r="139" customFormat="false" ht="15.75" hidden="false" customHeight="false" outlineLevel="0" collapsed="false">
      <c r="B139" s="3" t="str">
        <f aca="false">IF(COUNTIF(Final_CB_ML3_V5!$B$2:$B$520,A139)&gt;=1,"YES","NO")</f>
        <v>NO</v>
      </c>
      <c r="D139" s="3" t="str">
        <f aca="false">IF(COUNTIF(Final_CB_ML3_V5!$C$2:$C$520,C139)&gt;=1,"YES","NO")</f>
        <v>NO</v>
      </c>
      <c r="G139" s="4"/>
      <c r="H139" s="4"/>
    </row>
    <row r="140" customFormat="false" ht="15.75" hidden="false" customHeight="false" outlineLevel="0" collapsed="false">
      <c r="B140" s="3" t="str">
        <f aca="false">IF(COUNTIF(Final_CB_ML3_V5!$B$2:$B$520,A140)&gt;=1,"YES","NO")</f>
        <v>NO</v>
      </c>
      <c r="D140" s="3" t="str">
        <f aca="false">IF(COUNTIF(Final_CB_ML3_V5!$C$2:$C$520,C140)&gt;=1,"YES","NO")</f>
        <v>NO</v>
      </c>
      <c r="G140" s="4"/>
      <c r="H140" s="4"/>
    </row>
    <row r="141" customFormat="false" ht="15.75" hidden="false" customHeight="false" outlineLevel="0" collapsed="false">
      <c r="B141" s="3" t="str">
        <f aca="false">IF(COUNTIF(Final_CB_ML3_V5!$B$2:$B$520,A141)&gt;=1,"YES","NO")</f>
        <v>NO</v>
      </c>
      <c r="D141" s="3" t="str">
        <f aca="false">IF(COUNTIF(Final_CB_ML3_V5!$C$2:$C$520,C141)&gt;=1,"YES","NO")</f>
        <v>NO</v>
      </c>
      <c r="G141" s="4"/>
      <c r="H141" s="4"/>
    </row>
    <row r="142" customFormat="false" ht="15.75" hidden="false" customHeight="false" outlineLevel="0" collapsed="false">
      <c r="B142" s="3" t="str">
        <f aca="false">IF(COUNTIF(Final_CB_ML3_V5!$B$2:$B$520,A142)&gt;=1,"YES","NO")</f>
        <v>NO</v>
      </c>
      <c r="D142" s="3" t="str">
        <f aca="false">IF(COUNTIF(Final_CB_ML3_V5!$C$2:$C$520,C142)&gt;=1,"YES","NO")</f>
        <v>NO</v>
      </c>
      <c r="G142" s="4"/>
      <c r="H142" s="4"/>
    </row>
    <row r="143" customFormat="false" ht="15.75" hidden="false" customHeight="false" outlineLevel="0" collapsed="false">
      <c r="B143" s="3" t="str">
        <f aca="false">IF(COUNTIF(Final_CB_ML3_V5!$B$2:$B$520,A143)&gt;=1,"YES","NO")</f>
        <v>NO</v>
      </c>
      <c r="D143" s="3" t="str">
        <f aca="false">IF(COUNTIF(Final_CB_ML3_V5!$C$2:$C$520,C143)&gt;=1,"YES","NO")</f>
        <v>NO</v>
      </c>
      <c r="G143" s="4"/>
      <c r="H143" s="4"/>
    </row>
    <row r="144" customFormat="false" ht="15.75" hidden="false" customHeight="false" outlineLevel="0" collapsed="false">
      <c r="B144" s="3" t="str">
        <f aca="false">IF(COUNTIF(Final_CB_ML3_V5!$B$2:$B$520,A144)&gt;=1,"YES","NO")</f>
        <v>NO</v>
      </c>
      <c r="D144" s="3" t="str">
        <f aca="false">IF(COUNTIF(Final_CB_ML3_V5!$C$2:$C$520,C144)&gt;=1,"YES","NO")</f>
        <v>NO</v>
      </c>
      <c r="G144" s="4"/>
      <c r="H144" s="4"/>
    </row>
    <row r="145" customFormat="false" ht="15.75" hidden="false" customHeight="false" outlineLevel="0" collapsed="false">
      <c r="B145" s="3" t="str">
        <f aca="false">IF(COUNTIF(Final_CB_ML3_V5!$B$2:$B$520,A145)&gt;=1,"YES","NO")</f>
        <v>NO</v>
      </c>
      <c r="D145" s="3" t="str">
        <f aca="false">IF(COUNTIF(Final_CB_ML3_V5!$C$2:$C$520,C145)&gt;=1,"YES","NO")</f>
        <v>NO</v>
      </c>
      <c r="G145" s="4"/>
      <c r="H145" s="4"/>
    </row>
    <row r="146" customFormat="false" ht="15.75" hidden="false" customHeight="false" outlineLevel="0" collapsed="false">
      <c r="B146" s="3" t="str">
        <f aca="false">IF(COUNTIF(Final_CB_ML3_V5!$B$2:$B$520,A146)&gt;=1,"YES","NO")</f>
        <v>NO</v>
      </c>
      <c r="D146" s="3" t="str">
        <f aca="false">IF(COUNTIF(Final_CB_ML3_V5!$C$2:$C$520,C146)&gt;=1,"YES","NO")</f>
        <v>NO</v>
      </c>
      <c r="G146" s="4"/>
      <c r="H146" s="4"/>
    </row>
    <row r="147" customFormat="false" ht="15.75" hidden="false" customHeight="false" outlineLevel="0" collapsed="false">
      <c r="B147" s="3" t="str">
        <f aca="false">IF(COUNTIF(Final_CB_ML3_V5!$B$2:$B$520,A147)&gt;=1,"YES","NO")</f>
        <v>NO</v>
      </c>
      <c r="D147" s="3" t="str">
        <f aca="false">IF(COUNTIF(Final_CB_ML3_V5!$C$2:$C$520,C147)&gt;=1,"YES","NO")</f>
        <v>NO</v>
      </c>
      <c r="G147" s="4"/>
      <c r="H147" s="4"/>
    </row>
    <row r="148" customFormat="false" ht="15.75" hidden="false" customHeight="false" outlineLevel="0" collapsed="false">
      <c r="B148" s="3" t="str">
        <f aca="false">IF(COUNTIF(Final_CB_ML3_V5!$B$2:$B$520,A148)&gt;=1,"YES","NO")</f>
        <v>NO</v>
      </c>
      <c r="D148" s="3" t="str">
        <f aca="false">IF(COUNTIF(Final_CB_ML3_V5!$C$2:$C$520,C148)&gt;=1,"YES","NO")</f>
        <v>NO</v>
      </c>
      <c r="G148" s="4"/>
      <c r="H148" s="4"/>
    </row>
    <row r="149" customFormat="false" ht="15.75" hidden="false" customHeight="false" outlineLevel="0" collapsed="false">
      <c r="B149" s="3" t="str">
        <f aca="false">IF(COUNTIF(Final_CB_ML3_V5!$B$2:$B$520,A149)&gt;=1,"YES","NO")</f>
        <v>NO</v>
      </c>
      <c r="D149" s="3" t="str">
        <f aca="false">IF(COUNTIF(Final_CB_ML3_V5!$C$2:$C$520,C149)&gt;=1,"YES","NO")</f>
        <v>NO</v>
      </c>
      <c r="G149" s="4"/>
      <c r="H149" s="4"/>
    </row>
    <row r="150" customFormat="false" ht="15.75" hidden="false" customHeight="false" outlineLevel="0" collapsed="false">
      <c r="B150" s="3" t="str">
        <f aca="false">IF(COUNTIF(Final_CB_ML3_V5!$B$2:$B$520,A150)&gt;=1,"YES","NO")</f>
        <v>NO</v>
      </c>
      <c r="D150" s="3" t="str">
        <f aca="false">IF(COUNTIF(Final_CB_ML3_V5!$C$2:$C$520,C150)&gt;=1,"YES","NO")</f>
        <v>NO</v>
      </c>
      <c r="G150" s="4"/>
      <c r="H150" s="4"/>
    </row>
    <row r="151" customFormat="false" ht="15.75" hidden="false" customHeight="false" outlineLevel="0" collapsed="false">
      <c r="B151" s="3" t="str">
        <f aca="false">IF(COUNTIF(Final_CB_ML3_V5!$B$2:$B$520,A151)&gt;=1,"YES","NO")</f>
        <v>NO</v>
      </c>
      <c r="D151" s="3" t="str">
        <f aca="false">IF(COUNTIF(Final_CB_ML3_V5!$C$2:$C$520,C151)&gt;=1,"YES","NO")</f>
        <v>NO</v>
      </c>
      <c r="G151" s="4"/>
      <c r="H151" s="4"/>
    </row>
    <row r="152" customFormat="false" ht="15.75" hidden="false" customHeight="false" outlineLevel="0" collapsed="false">
      <c r="B152" s="3" t="str">
        <f aca="false">IF(COUNTIF(Final_CB_ML3_V5!$B$2:$B$520,A152)&gt;=1,"YES","NO")</f>
        <v>NO</v>
      </c>
      <c r="D152" s="3" t="str">
        <f aca="false">IF(COUNTIF(Final_CB_ML3_V5!$C$2:$C$520,C152)&gt;=1,"YES","NO")</f>
        <v>NO</v>
      </c>
      <c r="G152" s="4"/>
      <c r="H152" s="4"/>
    </row>
    <row r="153" customFormat="false" ht="15.75" hidden="false" customHeight="false" outlineLevel="0" collapsed="false">
      <c r="B153" s="3" t="str">
        <f aca="false">IF(COUNTIF(Final_CB_ML3_V5!$B$2:$B$520,A153)&gt;=1,"YES","NO")</f>
        <v>NO</v>
      </c>
      <c r="D153" s="3" t="str">
        <f aca="false">IF(COUNTIF(Final_CB_ML3_V5!$C$2:$C$520,C153)&gt;=1,"YES","NO")</f>
        <v>NO</v>
      </c>
      <c r="G153" s="4"/>
      <c r="H153" s="4"/>
    </row>
    <row r="154" customFormat="false" ht="15.75" hidden="false" customHeight="false" outlineLevel="0" collapsed="false">
      <c r="B154" s="3" t="str">
        <f aca="false">IF(COUNTIF(Final_CB_ML3_V5!$B$2:$B$520,A154)&gt;=1,"YES","NO")</f>
        <v>NO</v>
      </c>
      <c r="D154" s="3" t="str">
        <f aca="false">IF(COUNTIF(Final_CB_ML3_V5!$C$2:$C$520,C154)&gt;=1,"YES","NO")</f>
        <v>NO</v>
      </c>
      <c r="G154" s="4"/>
      <c r="H154" s="4"/>
    </row>
    <row r="155" customFormat="false" ht="15.75" hidden="false" customHeight="false" outlineLevel="0" collapsed="false">
      <c r="B155" s="3" t="str">
        <f aca="false">IF(COUNTIF(Final_CB_ML3_V5!$B$2:$B$520,A155)&gt;=1,"YES","NO")</f>
        <v>NO</v>
      </c>
      <c r="D155" s="3" t="str">
        <f aca="false">IF(COUNTIF(Final_CB_ML3_V5!$C$2:$C$520,C155)&gt;=1,"YES","NO")</f>
        <v>NO</v>
      </c>
      <c r="G155" s="4"/>
      <c r="H155" s="4"/>
    </row>
    <row r="156" customFormat="false" ht="15.75" hidden="false" customHeight="false" outlineLevel="0" collapsed="false">
      <c r="B156" s="3" t="str">
        <f aca="false">IF(COUNTIF(Final_CB_ML3_V5!$B$2:$B$520,A156)&gt;=1,"YES","NO")</f>
        <v>NO</v>
      </c>
      <c r="D156" s="3" t="str">
        <f aca="false">IF(COUNTIF(Final_CB_ML3_V5!$C$2:$C$520,C156)&gt;=1,"YES","NO")</f>
        <v>NO</v>
      </c>
      <c r="G156" s="4"/>
      <c r="H156" s="4"/>
    </row>
    <row r="157" customFormat="false" ht="15.75" hidden="false" customHeight="false" outlineLevel="0" collapsed="false">
      <c r="B157" s="3" t="str">
        <f aca="false">IF(COUNTIF(Final_CB_ML3_V5!$B$2:$B$520,A157)&gt;=1,"YES","NO")</f>
        <v>NO</v>
      </c>
      <c r="D157" s="3" t="str">
        <f aca="false">IF(COUNTIF(Final_CB_ML3_V5!$C$2:$C$520,C157)&gt;=1,"YES","NO")</f>
        <v>NO</v>
      </c>
      <c r="G157" s="4"/>
      <c r="H157" s="4"/>
    </row>
    <row r="158" customFormat="false" ht="15.75" hidden="false" customHeight="false" outlineLevel="0" collapsed="false">
      <c r="B158" s="3" t="str">
        <f aca="false">IF(COUNTIF(Final_CB_ML3_V5!$B$2:$B$520,A158)&gt;=1,"YES","NO")</f>
        <v>NO</v>
      </c>
      <c r="D158" s="3" t="str">
        <f aca="false">IF(COUNTIF(Final_CB_ML3_V5!$C$2:$C$520,C158)&gt;=1,"YES","NO")</f>
        <v>NO</v>
      </c>
      <c r="G158" s="4"/>
      <c r="H158" s="4"/>
    </row>
    <row r="159" customFormat="false" ht="15.75" hidden="false" customHeight="false" outlineLevel="0" collapsed="false">
      <c r="B159" s="3" t="str">
        <f aca="false">IF(COUNTIF(Final_CB_ML3_V5!$B$2:$B$520,A159)&gt;=1,"YES","NO")</f>
        <v>NO</v>
      </c>
      <c r="D159" s="3" t="str">
        <f aca="false">IF(COUNTIF(Final_CB_ML3_V5!$C$2:$C$520,C159)&gt;=1,"YES","NO")</f>
        <v>NO</v>
      </c>
      <c r="G159" s="4"/>
      <c r="H159" s="4"/>
    </row>
    <row r="160" customFormat="false" ht="15.75" hidden="false" customHeight="false" outlineLevel="0" collapsed="false">
      <c r="B160" s="3" t="str">
        <f aca="false">IF(COUNTIF(Final_CB_ML3_V5!$B$2:$B$520,A160)&gt;=1,"YES","NO")</f>
        <v>NO</v>
      </c>
      <c r="D160" s="3" t="str">
        <f aca="false">IF(COUNTIF(Final_CB_ML3_V5!$C$2:$C$520,C160)&gt;=1,"YES","NO")</f>
        <v>NO</v>
      </c>
      <c r="G160" s="4"/>
      <c r="H160" s="4"/>
    </row>
    <row r="161" customFormat="false" ht="15.75" hidden="false" customHeight="false" outlineLevel="0" collapsed="false">
      <c r="B161" s="3" t="str">
        <f aca="false">IF(COUNTIF(Final_CB_ML3_V5!$B$2:$B$520,A161)&gt;=1,"YES","NO")</f>
        <v>NO</v>
      </c>
      <c r="D161" s="3" t="str">
        <f aca="false">IF(COUNTIF(Final_CB_ML3_V5!$C$2:$C$520,C161)&gt;=1,"YES","NO")</f>
        <v>NO</v>
      </c>
      <c r="G161" s="4"/>
      <c r="H161" s="4"/>
    </row>
    <row r="162" customFormat="false" ht="15.75" hidden="false" customHeight="false" outlineLevel="0" collapsed="false">
      <c r="B162" s="3" t="str">
        <f aca="false">IF(COUNTIF(Final_CB_ML3_V5!$B$2:$B$520,A162)&gt;=1,"YES","NO")</f>
        <v>NO</v>
      </c>
      <c r="D162" s="3" t="str">
        <f aca="false">IF(COUNTIF(Final_CB_ML3_V5!$C$2:$C$520,C162)&gt;=1,"YES","NO")</f>
        <v>NO</v>
      </c>
      <c r="G162" s="4"/>
      <c r="H162" s="4"/>
    </row>
    <row r="163" customFormat="false" ht="15.75" hidden="false" customHeight="false" outlineLevel="0" collapsed="false">
      <c r="B163" s="3" t="str">
        <f aca="false">IF(COUNTIF(Final_CB_ML3_V5!$B$2:$B$520,A163)&gt;=1,"YES","NO")</f>
        <v>NO</v>
      </c>
      <c r="D163" s="3" t="str">
        <f aca="false">IF(COUNTIF(Final_CB_ML3_V5!$C$2:$C$520,C163)&gt;=1,"YES","NO")</f>
        <v>NO</v>
      </c>
      <c r="G163" s="4"/>
      <c r="H163" s="4"/>
    </row>
    <row r="164" customFormat="false" ht="15.75" hidden="false" customHeight="false" outlineLevel="0" collapsed="false">
      <c r="B164" s="3" t="str">
        <f aca="false">IF(COUNTIF(Final_CB_ML3_V5!$B$2:$B$520,A164)&gt;=1,"YES","NO")</f>
        <v>NO</v>
      </c>
      <c r="D164" s="3" t="str">
        <f aca="false">IF(COUNTIF(Final_CB_ML3_V5!$C$2:$C$520,C164)&gt;=1,"YES","NO")</f>
        <v>NO</v>
      </c>
      <c r="G164" s="4"/>
      <c r="H164" s="4"/>
    </row>
    <row r="165" customFormat="false" ht="15.75" hidden="false" customHeight="false" outlineLevel="0" collapsed="false">
      <c r="B165" s="3" t="str">
        <f aca="false">IF(COUNTIF(Final_CB_ML3_V5!$B$2:$B$520,A165)&gt;=1,"YES","NO")</f>
        <v>NO</v>
      </c>
      <c r="D165" s="3" t="str">
        <f aca="false">IF(COUNTIF(Final_CB_ML3_V5!$C$2:$C$520,C165)&gt;=1,"YES","NO")</f>
        <v>NO</v>
      </c>
      <c r="G165" s="4"/>
      <c r="H165" s="4"/>
    </row>
    <row r="166" customFormat="false" ht="15.75" hidden="false" customHeight="false" outlineLevel="0" collapsed="false">
      <c r="B166" s="3" t="str">
        <f aca="false">IF(COUNTIF(Final_CB_ML3_V5!$B$2:$B$520,A166)&gt;=1,"YES","NO")</f>
        <v>NO</v>
      </c>
      <c r="D166" s="3" t="str">
        <f aca="false">IF(COUNTIF(Final_CB_ML3_V5!$C$2:$C$520,C166)&gt;=1,"YES","NO")</f>
        <v>NO</v>
      </c>
      <c r="G166" s="4"/>
      <c r="H166" s="4"/>
    </row>
    <row r="167" customFormat="false" ht="15.75" hidden="false" customHeight="false" outlineLevel="0" collapsed="false">
      <c r="B167" s="3" t="str">
        <f aca="false">IF(COUNTIF(Final_CB_ML3_V5!$B$2:$B$520,A167)&gt;=1,"YES","NO")</f>
        <v>NO</v>
      </c>
      <c r="D167" s="3" t="str">
        <f aca="false">IF(COUNTIF(Final_CB_ML3_V5!$C$2:$C$520,C167)&gt;=1,"YES","NO")</f>
        <v>NO</v>
      </c>
      <c r="G167" s="4"/>
      <c r="H167" s="4"/>
    </row>
    <row r="168" customFormat="false" ht="15.75" hidden="false" customHeight="false" outlineLevel="0" collapsed="false">
      <c r="B168" s="3" t="str">
        <f aca="false">IF(COUNTIF(Final_CB_ML3_V5!$B$2:$B$520,A168)&gt;=1,"YES","NO")</f>
        <v>NO</v>
      </c>
      <c r="D168" s="3" t="str">
        <f aca="false">IF(COUNTIF(Final_CB_ML3_V5!$C$2:$C$520,C168)&gt;=1,"YES","NO")</f>
        <v>NO</v>
      </c>
      <c r="G168" s="4"/>
      <c r="H168" s="4"/>
    </row>
    <row r="169" customFormat="false" ht="15.75" hidden="false" customHeight="false" outlineLevel="0" collapsed="false">
      <c r="B169" s="3" t="str">
        <f aca="false">IF(COUNTIF(Final_CB_ML3_V5!$B$2:$B$520,A169)&gt;=1,"YES","NO")</f>
        <v>NO</v>
      </c>
      <c r="D169" s="3" t="str">
        <f aca="false">IF(COUNTIF(Final_CB_ML3_V5!$C$2:$C$520,C169)&gt;=1,"YES","NO")</f>
        <v>NO</v>
      </c>
      <c r="G169" s="4"/>
      <c r="H169" s="4"/>
    </row>
    <row r="170" customFormat="false" ht="15.75" hidden="false" customHeight="false" outlineLevel="0" collapsed="false">
      <c r="B170" s="3" t="str">
        <f aca="false">IF(COUNTIF(Final_CB_ML3_V5!$B$2:$B$520,A170)&gt;=1,"YES","NO")</f>
        <v>NO</v>
      </c>
      <c r="D170" s="3" t="str">
        <f aca="false">IF(COUNTIF(Final_CB_ML3_V5!$C$2:$C$520,C170)&gt;=1,"YES","NO")</f>
        <v>NO</v>
      </c>
      <c r="G170" s="4"/>
      <c r="H170" s="4"/>
    </row>
    <row r="171" customFormat="false" ht="15.75" hidden="false" customHeight="false" outlineLevel="0" collapsed="false">
      <c r="B171" s="3" t="str">
        <f aca="false">IF(COUNTIF(Final_CB_ML3_V5!$B$2:$B$520,A171)&gt;=1,"YES","NO")</f>
        <v>NO</v>
      </c>
      <c r="D171" s="3" t="str">
        <f aca="false">IF(COUNTIF(Final_CB_ML3_V5!$C$2:$C$520,C171)&gt;=1,"YES","NO")</f>
        <v>NO</v>
      </c>
      <c r="G171" s="4"/>
      <c r="H171" s="4"/>
    </row>
    <row r="172" customFormat="false" ht="15.75" hidden="false" customHeight="false" outlineLevel="0" collapsed="false">
      <c r="B172" s="3" t="str">
        <f aca="false">IF(COUNTIF(Final_CB_ML3_V5!$B$2:$B$520,A172)&gt;=1,"YES","NO")</f>
        <v>NO</v>
      </c>
      <c r="D172" s="3" t="str">
        <f aca="false">IF(COUNTIF(Final_CB_ML3_V5!$C$2:$C$520,C172)&gt;=1,"YES","NO")</f>
        <v>NO</v>
      </c>
      <c r="E172" s="3" t="s">
        <v>1000</v>
      </c>
      <c r="G172" s="4"/>
      <c r="H172" s="4"/>
    </row>
    <row r="173" customFormat="false" ht="15.75" hidden="false" customHeight="false" outlineLevel="0" collapsed="false">
      <c r="B173" s="3" t="str">
        <f aca="false">IF(COUNTIF(Final_CB_ML3_V5!$B$2:$B$520,A173)&gt;=1,"YES","NO")</f>
        <v>NO</v>
      </c>
      <c r="D173" s="3" t="str">
        <f aca="false">IF(COUNTIF(Final_CB_ML3_V5!$C$2:$C$520,C173)&gt;=1,"YES","NO")</f>
        <v>NO</v>
      </c>
      <c r="G173" s="4"/>
      <c r="H173" s="4"/>
    </row>
    <row r="174" customFormat="false" ht="15.75" hidden="false" customHeight="false" outlineLevel="0" collapsed="false">
      <c r="B174" s="3" t="str">
        <f aca="false">IF(COUNTIF(Final_CB_ML3_V5!$B$2:$B$520,A174)&gt;=1,"YES","NO")</f>
        <v>NO</v>
      </c>
      <c r="D174" s="3" t="str">
        <f aca="false">IF(COUNTIF(Final_CB_ML3_V5!$C$2:$C$520,C174)&gt;=1,"YES","NO")</f>
        <v>NO</v>
      </c>
      <c r="G174" s="4"/>
      <c r="H174" s="4"/>
    </row>
    <row r="175" customFormat="false" ht="15.75" hidden="false" customHeight="false" outlineLevel="0" collapsed="false">
      <c r="B175" s="3" t="str">
        <f aca="false">IF(COUNTIF(Final_CB_ML3_V5!$B$2:$B$520,A175)&gt;=1,"YES","NO")</f>
        <v>NO</v>
      </c>
      <c r="D175" s="3" t="str">
        <f aca="false">IF(COUNTIF(Final_CB_ML3_V5!$C$2:$C$520,C175)&gt;=1,"YES","NO")</f>
        <v>NO</v>
      </c>
      <c r="G175" s="4"/>
      <c r="H175" s="4"/>
    </row>
    <row r="176" customFormat="false" ht="15.75" hidden="false" customHeight="false" outlineLevel="0" collapsed="false">
      <c r="B176" s="3" t="str">
        <f aca="false">IF(COUNTIF(Final_CB_ML3_V5!$B$2:$B$520,A176)&gt;=1,"YES","NO")</f>
        <v>NO</v>
      </c>
      <c r="D176" s="3" t="str">
        <f aca="false">IF(COUNTIF(Final_CB_ML3_V5!$C$2:$C$520,C176)&gt;=1,"YES","NO")</f>
        <v>NO</v>
      </c>
      <c r="G176" s="4"/>
      <c r="H176" s="4"/>
    </row>
    <row r="177" customFormat="false" ht="15.75" hidden="false" customHeight="false" outlineLevel="0" collapsed="false">
      <c r="B177" s="3" t="str">
        <f aca="false">IF(COUNTIF(Final_CB_ML3_V5!$B$2:$B$520,A177)&gt;=1,"YES","NO")</f>
        <v>NO</v>
      </c>
      <c r="D177" s="3" t="str">
        <f aca="false">IF(COUNTIF(Final_CB_ML3_V5!$C$2:$C$520,C177)&gt;=1,"YES","NO")</f>
        <v>NO</v>
      </c>
      <c r="G177" s="4"/>
      <c r="H177" s="4"/>
    </row>
    <row r="178" customFormat="false" ht="15.75" hidden="false" customHeight="false" outlineLevel="0" collapsed="false">
      <c r="B178" s="3" t="str">
        <f aca="false">IF(COUNTIF(Final_CB_ML3_V5!$B$2:$B$520,A178)&gt;=1,"YES","NO")</f>
        <v>NO</v>
      </c>
      <c r="D178" s="3" t="str">
        <f aca="false">IF(COUNTIF(Final_CB_ML3_V5!$C$2:$C$520,C178)&gt;=1,"YES","NO")</f>
        <v>NO</v>
      </c>
      <c r="G178" s="4"/>
      <c r="H178" s="4"/>
    </row>
    <row r="179" customFormat="false" ht="15.75" hidden="false" customHeight="false" outlineLevel="0" collapsed="false">
      <c r="B179" s="3" t="str">
        <f aca="false">IF(COUNTIF(Final_CB_ML3_V5!$B$2:$B$520,A179)&gt;=1,"YES","NO")</f>
        <v>NO</v>
      </c>
      <c r="D179" s="3" t="str">
        <f aca="false">IF(COUNTIF(Final_CB_ML3_V5!$C$2:$C$520,C179)&gt;=1,"YES","NO")</f>
        <v>NO</v>
      </c>
      <c r="G179" s="4"/>
      <c r="H179" s="4"/>
    </row>
    <row r="180" customFormat="false" ht="15.75" hidden="false" customHeight="false" outlineLevel="0" collapsed="false">
      <c r="B180" s="3" t="str">
        <f aca="false">IF(COUNTIF(Final_CB_ML3_V5!$B$2:$B$520,A180)&gt;=1,"YES","NO")</f>
        <v>NO</v>
      </c>
      <c r="D180" s="3" t="str">
        <f aca="false">IF(COUNTIF(Final_CB_ML3_V5!$C$2:$C$520,C180)&gt;=1,"YES","NO")</f>
        <v>NO</v>
      </c>
      <c r="G180" s="4"/>
      <c r="H180" s="4"/>
    </row>
    <row r="181" customFormat="false" ht="15.75" hidden="false" customHeight="false" outlineLevel="0" collapsed="false">
      <c r="B181" s="3" t="str">
        <f aca="false">IF(COUNTIF(Final_CB_ML3_V5!$B$2:$B$520,A181)&gt;=1,"YES","NO")</f>
        <v>NO</v>
      </c>
      <c r="D181" s="3" t="str">
        <f aca="false">IF(COUNTIF(Final_CB_ML3_V5!$C$2:$C$520,C181)&gt;=1,"YES","NO")</f>
        <v>NO</v>
      </c>
      <c r="G181" s="4"/>
      <c r="H181" s="4"/>
    </row>
    <row r="182" customFormat="false" ht="15.75" hidden="false" customHeight="false" outlineLevel="0" collapsed="false">
      <c r="B182" s="3" t="str">
        <f aca="false">IF(COUNTIF(Final_CB_ML3_V5!$B$2:$B$520,A182)&gt;=1,"YES","NO")</f>
        <v>NO</v>
      </c>
      <c r="D182" s="3" t="str">
        <f aca="false">IF(COUNTIF(Final_CB_ML3_V5!$C$2:$C$520,C182)&gt;=1,"YES","NO")</f>
        <v>NO</v>
      </c>
      <c r="G182" s="4"/>
      <c r="H182" s="4"/>
    </row>
    <row r="183" customFormat="false" ht="15.75" hidden="false" customHeight="false" outlineLevel="0" collapsed="false">
      <c r="B183" s="3" t="str">
        <f aca="false">IF(COUNTIF(Final_CB_ML3_V5!$B$2:$B$520,A183)&gt;=1,"YES","NO")</f>
        <v>NO</v>
      </c>
      <c r="D183" s="3" t="str">
        <f aca="false">IF(COUNTIF(Final_CB_ML3_V5!$C$2:$C$520,C183)&gt;=1,"YES","NO")</f>
        <v>NO</v>
      </c>
      <c r="G183" s="4"/>
      <c r="H183" s="4"/>
    </row>
    <row r="184" customFormat="false" ht="15.75" hidden="false" customHeight="false" outlineLevel="0" collapsed="false">
      <c r="B184" s="3" t="str">
        <f aca="false">IF(COUNTIF(Final_CB_ML3_V5!$B$2:$B$520,A184)&gt;=1,"YES","NO")</f>
        <v>NO</v>
      </c>
      <c r="D184" s="3" t="str">
        <f aca="false">IF(COUNTIF(Final_CB_ML3_V5!$C$2:$C$520,C184)&gt;=1,"YES","NO")</f>
        <v>NO</v>
      </c>
      <c r="G184" s="4"/>
      <c r="H184" s="4"/>
    </row>
    <row r="185" customFormat="false" ht="15.75" hidden="false" customHeight="false" outlineLevel="0" collapsed="false">
      <c r="B185" s="3" t="str">
        <f aca="false">IF(COUNTIF(Final_CB_ML3_V5!$B$2:$B$520,A185)&gt;=1,"YES","NO")</f>
        <v>NO</v>
      </c>
      <c r="D185" s="3" t="str">
        <f aca="false">IF(COUNTIF(Final_CB_ML3_V5!$C$2:$C$520,C185)&gt;=1,"YES","NO")</f>
        <v>NO</v>
      </c>
      <c r="G185" s="4"/>
      <c r="H185" s="4"/>
    </row>
    <row r="186" customFormat="false" ht="15.75" hidden="false" customHeight="false" outlineLevel="0" collapsed="false">
      <c r="B186" s="3" t="str">
        <f aca="false">IF(COUNTIF(Final_CB_ML3_V5!$B$2:$B$520,A186)&gt;=1,"YES","NO")</f>
        <v>NO</v>
      </c>
      <c r="D186" s="3" t="str">
        <f aca="false">IF(COUNTIF(Final_CB_ML3_V5!$C$2:$C$520,C186)&gt;=1,"YES","NO")</f>
        <v>NO</v>
      </c>
      <c r="G186" s="4"/>
      <c r="H186" s="4"/>
    </row>
    <row r="187" customFormat="false" ht="15.75" hidden="false" customHeight="false" outlineLevel="0" collapsed="false">
      <c r="B187" s="3" t="str">
        <f aca="false">IF(COUNTIF(Final_CB_ML3_V5!$B$2:$B$520,A187)&gt;=1,"YES","NO")</f>
        <v>NO</v>
      </c>
      <c r="D187" s="3" t="str">
        <f aca="false">IF(COUNTIF(Final_CB_ML3_V5!$C$2:$C$520,C187)&gt;=1,"YES","NO")</f>
        <v>NO</v>
      </c>
      <c r="G187" s="4"/>
      <c r="H187" s="4"/>
    </row>
    <row r="188" customFormat="false" ht="15.75" hidden="false" customHeight="false" outlineLevel="0" collapsed="false">
      <c r="B188" s="3" t="str">
        <f aca="false">IF(COUNTIF(Final_CB_ML3_V5!$B$2:$B$520,A188)&gt;=1,"YES","NO")</f>
        <v>NO</v>
      </c>
      <c r="D188" s="3" t="str">
        <f aca="false">IF(COUNTIF(Final_CB_ML3_V5!$C$2:$C$520,C188)&gt;=1,"YES","NO")</f>
        <v>NO</v>
      </c>
      <c r="G188" s="4"/>
      <c r="H188" s="4"/>
    </row>
    <row r="189" customFormat="false" ht="15.75" hidden="false" customHeight="false" outlineLevel="0" collapsed="false">
      <c r="B189" s="3" t="str">
        <f aca="false">IF(COUNTIF(Final_CB_ML3_V5!$B$2:$B$520,A189)&gt;=1,"YES","NO")</f>
        <v>NO</v>
      </c>
      <c r="D189" s="3" t="str">
        <f aca="false">IF(COUNTIF(Final_CB_ML3_V5!$C$2:$C$520,C189)&gt;=1,"YES","NO")</f>
        <v>NO</v>
      </c>
      <c r="G189" s="4"/>
      <c r="H189" s="4"/>
    </row>
    <row r="190" customFormat="false" ht="15.75" hidden="false" customHeight="false" outlineLevel="0" collapsed="false">
      <c r="B190" s="3" t="str">
        <f aca="false">IF(COUNTIF(Final_CB_ML3_V5!$B$2:$B$520,A190)&gt;=1,"YES","NO")</f>
        <v>NO</v>
      </c>
      <c r="D190" s="3" t="str">
        <f aca="false">IF(COUNTIF(Final_CB_ML3_V5!$C$2:$C$520,C190)&gt;=1,"YES","NO")</f>
        <v>NO</v>
      </c>
      <c r="G190" s="4"/>
      <c r="H190" s="4"/>
    </row>
    <row r="191" customFormat="false" ht="15.75" hidden="false" customHeight="false" outlineLevel="0" collapsed="false">
      <c r="B191" s="3" t="str">
        <f aca="false">IF(COUNTIF(Final_CB_ML3_V5!$B$2:$B$520,A191)&gt;=1,"YES","NO")</f>
        <v>NO</v>
      </c>
      <c r="D191" s="3" t="str">
        <f aca="false">IF(COUNTIF(Final_CB_ML3_V5!$C$2:$C$520,C191)&gt;=1,"YES","NO")</f>
        <v>NO</v>
      </c>
      <c r="G191" s="4"/>
      <c r="H191" s="4"/>
    </row>
    <row r="192" customFormat="false" ht="15.75" hidden="false" customHeight="false" outlineLevel="0" collapsed="false">
      <c r="B192" s="3" t="str">
        <f aca="false">IF(COUNTIF(Final_CB_ML3_V5!$B$2:$B$520,A192)&gt;=1,"YES","NO")</f>
        <v>NO</v>
      </c>
      <c r="D192" s="3" t="str">
        <f aca="false">IF(COUNTIF(Final_CB_ML3_V5!$C$2:$C$520,C192)&gt;=1,"YES","NO")</f>
        <v>NO</v>
      </c>
      <c r="G192" s="4"/>
      <c r="H192" s="4"/>
    </row>
    <row r="193" customFormat="false" ht="15.75" hidden="false" customHeight="false" outlineLevel="0" collapsed="false">
      <c r="B193" s="3" t="str">
        <f aca="false">IF(COUNTIF(Final_CB_ML3_V5!$B$2:$B$520,A193)&gt;=1,"YES","NO")</f>
        <v>NO</v>
      </c>
      <c r="D193" s="3" t="str">
        <f aca="false">IF(COUNTIF(Final_CB_ML3_V5!$C$2:$C$520,C193)&gt;=1,"YES","NO")</f>
        <v>NO</v>
      </c>
      <c r="G193" s="4"/>
      <c r="H193" s="4"/>
    </row>
    <row r="194" customFormat="false" ht="15.75" hidden="false" customHeight="false" outlineLevel="0" collapsed="false">
      <c r="B194" s="3" t="str">
        <f aca="false">IF(COUNTIF(Final_CB_ML3_V5!$B$2:$B$520,A194)&gt;=1,"YES","NO")</f>
        <v>NO</v>
      </c>
      <c r="D194" s="3" t="str">
        <f aca="false">IF(COUNTIF(Final_CB_ML3_V5!$C$2:$C$520,C194)&gt;=1,"YES","NO")</f>
        <v>NO</v>
      </c>
      <c r="G194" s="4"/>
      <c r="H194" s="4"/>
    </row>
    <row r="195" customFormat="false" ht="15.75" hidden="false" customHeight="false" outlineLevel="0" collapsed="false">
      <c r="B195" s="3" t="str">
        <f aca="false">IF(COUNTIF(Final_CB_ML3_V5!$B$2:$B$520,A195)&gt;=1,"YES","NO")</f>
        <v>NO</v>
      </c>
      <c r="D195" s="3" t="str">
        <f aca="false">IF(COUNTIF(Final_CB_ML3_V5!$C$2:$C$520,C195)&gt;=1,"YES","NO")</f>
        <v>NO</v>
      </c>
      <c r="G195" s="4"/>
      <c r="H195" s="4"/>
    </row>
    <row r="196" customFormat="false" ht="15.75" hidden="false" customHeight="false" outlineLevel="0" collapsed="false">
      <c r="B196" s="3" t="str">
        <f aca="false">IF(COUNTIF(Final_CB_ML3_V5!$B$2:$B$520,A196)&gt;=1,"YES","NO")</f>
        <v>NO</v>
      </c>
      <c r="D196" s="3" t="str">
        <f aca="false">IF(COUNTIF(Final_CB_ML3_V5!$C$2:$C$520,C196)&gt;=1,"YES","NO")</f>
        <v>NO</v>
      </c>
      <c r="G196" s="4"/>
      <c r="H196" s="4"/>
    </row>
    <row r="197" customFormat="false" ht="15.75" hidden="false" customHeight="false" outlineLevel="0" collapsed="false">
      <c r="B197" s="3" t="str">
        <f aca="false">IF(COUNTIF(Final_CB_ML3_V5!$B$2:$B$520,A197)&gt;=1,"YES","NO")</f>
        <v>NO</v>
      </c>
      <c r="D197" s="3" t="str">
        <f aca="false">IF(COUNTIF(Final_CB_ML3_V5!$C$2:$C$520,C197)&gt;=1,"YES","NO")</f>
        <v>NO</v>
      </c>
      <c r="G197" s="4"/>
      <c r="H197" s="4"/>
    </row>
    <row r="198" customFormat="false" ht="15.75" hidden="false" customHeight="false" outlineLevel="0" collapsed="false">
      <c r="B198" s="3" t="str">
        <f aca="false">IF(COUNTIF(Final_CB_ML3_V5!$B$2:$B$520,A198)&gt;=1,"YES","NO")</f>
        <v>NO</v>
      </c>
      <c r="D198" s="3" t="str">
        <f aca="false">IF(COUNTIF(Final_CB_ML3_V5!$C$2:$C$520,C198)&gt;=1,"YES","NO")</f>
        <v>NO</v>
      </c>
      <c r="G198" s="4"/>
      <c r="H198" s="4"/>
    </row>
    <row r="199" customFormat="false" ht="15.75" hidden="false" customHeight="false" outlineLevel="0" collapsed="false">
      <c r="B199" s="3" t="str">
        <f aca="false">IF(COUNTIF(Final_CB_ML3_V5!$B$2:$B$520,A199)&gt;=1,"YES","NO")</f>
        <v>NO</v>
      </c>
      <c r="D199" s="3" t="str">
        <f aca="false">IF(COUNTIF(Final_CB_ML3_V5!$C$2:$C$520,C199)&gt;=1,"YES","NO")</f>
        <v>NO</v>
      </c>
      <c r="G199" s="4"/>
      <c r="H199" s="4"/>
    </row>
    <row r="200" customFormat="false" ht="15.75" hidden="false" customHeight="false" outlineLevel="0" collapsed="false">
      <c r="B200" s="3" t="str">
        <f aca="false">IF(COUNTIF(Final_CB_ML3_V5!$B$2:$B$520,A200)&gt;=1,"YES","NO")</f>
        <v>NO</v>
      </c>
      <c r="D200" s="3" t="str">
        <f aca="false">IF(COUNTIF(Final_CB_ML3_V5!$C$2:$C$520,C200)&gt;=1,"YES","NO")</f>
        <v>NO</v>
      </c>
      <c r="G200" s="4"/>
      <c r="H200" s="4"/>
    </row>
    <row r="201" customFormat="false" ht="15.75" hidden="false" customHeight="false" outlineLevel="0" collapsed="false">
      <c r="B201" s="3" t="str">
        <f aca="false">IF(COUNTIF(Final_CB_ML3_V5!$B$2:$B$520,A201)&gt;=1,"YES","NO")</f>
        <v>NO</v>
      </c>
      <c r="D201" s="3" t="str">
        <f aca="false">IF(COUNTIF(Final_CB_ML3_V5!$C$2:$C$520,C201)&gt;=1,"YES","NO")</f>
        <v>NO</v>
      </c>
      <c r="G201" s="4"/>
      <c r="H201" s="4"/>
    </row>
    <row r="202" customFormat="false" ht="15.75" hidden="false" customHeight="false" outlineLevel="0" collapsed="false">
      <c r="B202" s="3" t="str">
        <f aca="false">IF(COUNTIF(Final_CB_ML3_V5!$B$2:$B$520,A202)&gt;=1,"YES","NO")</f>
        <v>NO</v>
      </c>
      <c r="D202" s="3" t="str">
        <f aca="false">IF(COUNTIF(Final_CB_ML3_V5!$C$2:$C$520,C202)&gt;=1,"YES","NO")</f>
        <v>NO</v>
      </c>
      <c r="G202" s="4"/>
      <c r="H202" s="4"/>
    </row>
    <row r="203" customFormat="false" ht="15.75" hidden="false" customHeight="false" outlineLevel="0" collapsed="false">
      <c r="B203" s="3" t="str">
        <f aca="false">IF(COUNTIF(Final_CB_ML3_V5!$B$2:$B$520,A203)&gt;=1,"YES","NO")</f>
        <v>NO</v>
      </c>
      <c r="D203" s="3" t="str">
        <f aca="false">IF(COUNTIF(Final_CB_ML3_V5!$C$2:$C$520,C203)&gt;=1,"YES","NO")</f>
        <v>NO</v>
      </c>
      <c r="G203" s="4"/>
      <c r="H203" s="4"/>
    </row>
    <row r="204" customFormat="false" ht="15.75" hidden="false" customHeight="false" outlineLevel="0" collapsed="false">
      <c r="B204" s="3" t="str">
        <f aca="false">IF(COUNTIF(Final_CB_ML3_V5!$B$2:$B$520,A204)&gt;=1,"YES","NO")</f>
        <v>NO</v>
      </c>
      <c r="D204" s="3" t="str">
        <f aca="false">IF(COUNTIF(Final_CB_ML3_V5!$C$2:$C$520,C204)&gt;=1,"YES","NO")</f>
        <v>NO</v>
      </c>
      <c r="G204" s="4"/>
      <c r="H204" s="4"/>
    </row>
    <row r="205" customFormat="false" ht="15.75" hidden="false" customHeight="false" outlineLevel="0" collapsed="false">
      <c r="B205" s="3" t="str">
        <f aca="false">IF(COUNTIF(Final_CB_ML3_V5!$B$2:$B$520,A205)&gt;=1,"YES","NO")</f>
        <v>NO</v>
      </c>
      <c r="D205" s="3" t="str">
        <f aca="false">IF(COUNTIF(Final_CB_ML3_V5!$C$2:$C$520,C205)&gt;=1,"YES","NO")</f>
        <v>NO</v>
      </c>
      <c r="G205" s="4"/>
      <c r="H205" s="4"/>
    </row>
    <row r="206" customFormat="false" ht="15.75" hidden="false" customHeight="false" outlineLevel="0" collapsed="false">
      <c r="B206" s="3" t="str">
        <f aca="false">IF(COUNTIF(Final_CB_ML3_V5!$B$2:$B$520,A206)&gt;=1,"YES","NO")</f>
        <v>NO</v>
      </c>
      <c r="D206" s="3" t="str">
        <f aca="false">IF(COUNTIF(Final_CB_ML3_V5!$C$2:$C$520,C206)&gt;=1,"YES","NO")</f>
        <v>NO</v>
      </c>
      <c r="G206" s="4"/>
      <c r="H206" s="4"/>
    </row>
    <row r="207" customFormat="false" ht="15.75" hidden="false" customHeight="false" outlineLevel="0" collapsed="false">
      <c r="B207" s="3" t="str">
        <f aca="false">IF(COUNTIF(Final_CB_ML3_V5!$B$2:$B$520,A207)&gt;=1,"YES","NO")</f>
        <v>NO</v>
      </c>
      <c r="D207" s="3" t="str">
        <f aca="false">IF(COUNTIF(Final_CB_ML3_V5!$C$2:$C$520,C207)&gt;=1,"YES","NO")</f>
        <v>NO</v>
      </c>
      <c r="G207" s="4"/>
      <c r="H207" s="4"/>
    </row>
    <row r="208" customFormat="false" ht="15.75" hidden="false" customHeight="false" outlineLevel="0" collapsed="false">
      <c r="B208" s="3" t="str">
        <f aca="false">IF(COUNTIF(Final_CB_ML3_V5!$B$2:$B$520,A208)&gt;=1,"YES","NO")</f>
        <v>NO</v>
      </c>
      <c r="D208" s="3" t="str">
        <f aca="false">IF(COUNTIF(Final_CB_ML3_V5!$C$2:$C$520,C208)&gt;=1,"YES","NO")</f>
        <v>NO</v>
      </c>
      <c r="G208" s="4"/>
      <c r="H208" s="4"/>
    </row>
    <row r="209" customFormat="false" ht="15.75" hidden="false" customHeight="false" outlineLevel="0" collapsed="false">
      <c r="B209" s="3" t="str">
        <f aca="false">IF(COUNTIF(Final_CB_ML3_V5!$B$2:$B$520,A209)&gt;=1,"YES","NO")</f>
        <v>NO</v>
      </c>
      <c r="D209" s="3" t="str">
        <f aca="false">IF(COUNTIF(Final_CB_ML3_V5!$C$2:$C$520,C209)&gt;=1,"YES","NO")</f>
        <v>NO</v>
      </c>
      <c r="G209" s="4"/>
      <c r="H209" s="4"/>
    </row>
    <row r="210" customFormat="false" ht="15.75" hidden="false" customHeight="false" outlineLevel="0" collapsed="false">
      <c r="B210" s="3" t="str">
        <f aca="false">IF(COUNTIF(Final_CB_ML3_V5!$B$2:$B$520,A210)&gt;=1,"YES","NO")</f>
        <v>NO</v>
      </c>
      <c r="D210" s="3" t="str">
        <f aca="false">IF(COUNTIF(Final_CB_ML3_V5!$C$2:$C$520,C210)&gt;=1,"YES","NO")</f>
        <v>NO</v>
      </c>
      <c r="G210" s="4"/>
      <c r="H210" s="4"/>
    </row>
    <row r="211" customFormat="false" ht="15.75" hidden="false" customHeight="false" outlineLevel="0" collapsed="false">
      <c r="B211" s="3" t="str">
        <f aca="false">IF(COUNTIF(Final_CB_ML3_V5!$B$2:$B$520,A211)&gt;=1,"YES","NO")</f>
        <v>NO</v>
      </c>
      <c r="D211" s="3" t="str">
        <f aca="false">IF(COUNTIF(Final_CB_ML3_V5!$C$2:$C$520,C211)&gt;=1,"YES","NO")</f>
        <v>NO</v>
      </c>
      <c r="G211" s="4"/>
      <c r="H211" s="4"/>
    </row>
    <row r="212" customFormat="false" ht="15.75" hidden="false" customHeight="false" outlineLevel="0" collapsed="false">
      <c r="B212" s="3" t="str">
        <f aca="false">IF(COUNTIF(Final_CB_ML3_V5!$B$2:$B$520,A212)&gt;=1,"YES","NO")</f>
        <v>NO</v>
      </c>
      <c r="D212" s="3" t="str">
        <f aca="false">IF(COUNTIF(Final_CB_ML3_V5!$C$2:$C$520,C212)&gt;=1,"YES","NO")</f>
        <v>NO</v>
      </c>
      <c r="G212" s="4"/>
      <c r="H212" s="4"/>
    </row>
    <row r="213" customFormat="false" ht="15.75" hidden="false" customHeight="false" outlineLevel="0" collapsed="false">
      <c r="B213" s="3" t="str">
        <f aca="false">IF(COUNTIF(Final_CB_ML3_V5!$B$2:$B$520,A213)&gt;=1,"YES","NO")</f>
        <v>NO</v>
      </c>
      <c r="D213" s="3" t="str">
        <f aca="false">IF(COUNTIF(Final_CB_ML3_V5!$C$2:$C$520,C213)&gt;=1,"YES","NO")</f>
        <v>NO</v>
      </c>
      <c r="G213" s="4"/>
      <c r="H213" s="4"/>
    </row>
    <row r="214" customFormat="false" ht="15.75" hidden="false" customHeight="false" outlineLevel="0" collapsed="false">
      <c r="B214" s="3" t="str">
        <f aca="false">IF(COUNTIF(Final_CB_ML3_V5!$B$2:$B$520,A214)&gt;=1,"YES","NO")</f>
        <v>NO</v>
      </c>
      <c r="D214" s="3" t="str">
        <f aca="false">IF(COUNTIF(Final_CB_ML3_V5!$C$2:$C$520,C214)&gt;=1,"YES","NO")</f>
        <v>NO</v>
      </c>
      <c r="G214" s="4"/>
      <c r="H214" s="4"/>
    </row>
    <row r="215" customFormat="false" ht="15.75" hidden="false" customHeight="false" outlineLevel="0" collapsed="false">
      <c r="B215" s="3" t="str">
        <f aca="false">IF(COUNTIF(Final_CB_ML3_V5!$B$2:$B$520,A215)&gt;=1,"YES","NO")</f>
        <v>NO</v>
      </c>
      <c r="D215" s="3" t="str">
        <f aca="false">IF(COUNTIF(Final_CB_ML3_V5!$C$2:$C$520,C215)&gt;=1,"YES","NO")</f>
        <v>NO</v>
      </c>
      <c r="G215" s="4"/>
      <c r="H215" s="4"/>
    </row>
    <row r="216" customFormat="false" ht="15.75" hidden="false" customHeight="false" outlineLevel="0" collapsed="false">
      <c r="B216" s="3" t="str">
        <f aca="false">IF(COUNTIF(Final_CB_ML3_V5!$B$2:$B$520,A216)&gt;=1,"YES","NO")</f>
        <v>NO</v>
      </c>
      <c r="D216" s="3" t="str">
        <f aca="false">IF(COUNTIF(Final_CB_ML3_V5!$C$2:$C$520,C216)&gt;=1,"YES","NO")</f>
        <v>NO</v>
      </c>
      <c r="G216" s="4"/>
      <c r="H216" s="4"/>
    </row>
    <row r="217" customFormat="false" ht="15.75" hidden="false" customHeight="false" outlineLevel="0" collapsed="false">
      <c r="B217" s="3" t="str">
        <f aca="false">IF(COUNTIF(Final_CB_ML3_V5!$B$2:$B$520,A217)&gt;=1,"YES","NO")</f>
        <v>NO</v>
      </c>
      <c r="D217" s="3" t="str">
        <f aca="false">IF(COUNTIF(Final_CB_ML3_V5!$C$2:$C$520,C217)&gt;=1,"YES","NO")</f>
        <v>NO</v>
      </c>
      <c r="G217" s="4"/>
      <c r="H217" s="4"/>
    </row>
    <row r="218" customFormat="false" ht="15.75" hidden="false" customHeight="false" outlineLevel="0" collapsed="false">
      <c r="B218" s="3" t="str">
        <f aca="false">IF(COUNTIF(Final_CB_ML3_V5!$B$2:$B$520,A218)&gt;=1,"YES","NO")</f>
        <v>NO</v>
      </c>
      <c r="D218" s="3" t="str">
        <f aca="false">IF(COUNTIF(Final_CB_ML3_V5!$C$2:$C$520,C218)&gt;=1,"YES","NO")</f>
        <v>NO</v>
      </c>
      <c r="G218" s="4"/>
      <c r="H218" s="4"/>
    </row>
    <row r="219" customFormat="false" ht="15.75" hidden="false" customHeight="false" outlineLevel="0" collapsed="false">
      <c r="B219" s="3" t="str">
        <f aca="false">IF(COUNTIF(Final_CB_ML3_V5!$B$2:$B$520,A219)&gt;=1,"YES","NO")</f>
        <v>NO</v>
      </c>
      <c r="D219" s="3" t="str">
        <f aca="false">IF(COUNTIF(Final_CB_ML3_V5!$C$2:$C$520,C219)&gt;=1,"YES","NO")</f>
        <v>NO</v>
      </c>
      <c r="G219" s="4"/>
      <c r="H219" s="4"/>
    </row>
    <row r="220" customFormat="false" ht="15.75" hidden="false" customHeight="false" outlineLevel="0" collapsed="false">
      <c r="B220" s="3" t="str">
        <f aca="false">IF(COUNTIF(Final_CB_ML3_V5!$B$2:$B$520,A220)&gt;=1,"YES","NO")</f>
        <v>NO</v>
      </c>
      <c r="D220" s="3" t="str">
        <f aca="false">IF(COUNTIF(Final_CB_ML3_V5!$C$2:$C$520,C220)&gt;=1,"YES","NO")</f>
        <v>NO</v>
      </c>
      <c r="G220" s="4"/>
      <c r="H220" s="4"/>
    </row>
    <row r="221" customFormat="false" ht="15.75" hidden="false" customHeight="false" outlineLevel="0" collapsed="false">
      <c r="B221" s="3" t="str">
        <f aca="false">IF(COUNTIF(Final_CB_ML3_V5!$B$2:$B$520,A221)&gt;=1,"YES","NO")</f>
        <v>NO</v>
      </c>
      <c r="D221" s="3" t="str">
        <f aca="false">IF(COUNTIF(Final_CB_ML3_V5!$C$2:$C$520,C221)&gt;=1,"YES","NO")</f>
        <v>NO</v>
      </c>
      <c r="G221" s="4"/>
      <c r="H221" s="4"/>
    </row>
    <row r="222" customFormat="false" ht="15.75" hidden="false" customHeight="false" outlineLevel="0" collapsed="false">
      <c r="B222" s="3" t="str">
        <f aca="false">IF(COUNTIF(Final_CB_ML3_V5!$B$2:$B$520,A222)&gt;=1,"YES","NO")</f>
        <v>NO</v>
      </c>
      <c r="D222" s="3" t="str">
        <f aca="false">IF(COUNTIF(Final_CB_ML3_V5!$C$2:$C$520,C222)&gt;=1,"YES","NO")</f>
        <v>NO</v>
      </c>
      <c r="G222" s="4"/>
      <c r="H222" s="4"/>
    </row>
    <row r="223" customFormat="false" ht="15.75" hidden="false" customHeight="false" outlineLevel="0" collapsed="false">
      <c r="B223" s="3" t="str">
        <f aca="false">IF(COUNTIF(Final_CB_ML3_V5!$B$2:$B$520,A223)&gt;=1,"YES","NO")</f>
        <v>NO</v>
      </c>
      <c r="D223" s="3" t="str">
        <f aca="false">IF(COUNTIF(Final_CB_ML3_V5!$C$2:$C$520,C223)&gt;=1,"YES","NO")</f>
        <v>NO</v>
      </c>
      <c r="G223" s="4"/>
      <c r="H223" s="4"/>
    </row>
    <row r="224" customFormat="false" ht="15.75" hidden="false" customHeight="false" outlineLevel="0" collapsed="false">
      <c r="B224" s="3" t="str">
        <f aca="false">IF(COUNTIF(Final_CB_ML3_V5!$B$2:$B$520,A224)&gt;=1,"YES","NO")</f>
        <v>NO</v>
      </c>
      <c r="D224" s="3" t="str">
        <f aca="false">IF(COUNTIF(Final_CB_ML3_V5!$C$2:$C$520,C224)&gt;=1,"YES","NO")</f>
        <v>NO</v>
      </c>
      <c r="G224" s="4"/>
      <c r="H224" s="4"/>
    </row>
    <row r="225" customFormat="false" ht="15.75" hidden="false" customHeight="false" outlineLevel="0" collapsed="false">
      <c r="B225" s="3" t="str">
        <f aca="false">IF(COUNTIF(Final_CB_ML3_V5!$B$2:$B$520,A225)&gt;=1,"YES","NO")</f>
        <v>NO</v>
      </c>
      <c r="D225" s="3" t="str">
        <f aca="false">IF(COUNTIF(Final_CB_ML3_V5!$C$2:$C$520,C225)&gt;=1,"YES","NO")</f>
        <v>NO</v>
      </c>
      <c r="G225" s="4"/>
      <c r="H225" s="4"/>
    </row>
    <row r="226" customFormat="false" ht="15.75" hidden="false" customHeight="false" outlineLevel="0" collapsed="false">
      <c r="B226" s="3" t="str">
        <f aca="false">IF(COUNTIF(Final_CB_ML3_V5!$B$2:$B$520,A226)&gt;=1,"YES","NO")</f>
        <v>NO</v>
      </c>
      <c r="D226" s="3" t="str">
        <f aca="false">IF(COUNTIF(Final_CB_ML3_V5!$C$2:$C$520,C226)&gt;=1,"YES","NO")</f>
        <v>NO</v>
      </c>
      <c r="G226" s="4"/>
      <c r="H226" s="4"/>
    </row>
    <row r="227" customFormat="false" ht="15.75" hidden="false" customHeight="false" outlineLevel="0" collapsed="false">
      <c r="B227" s="3" t="str">
        <f aca="false">IF(COUNTIF(Final_CB_ML3_V5!$B$2:$B$520,A227)&gt;=1,"YES","NO")</f>
        <v>NO</v>
      </c>
      <c r="D227" s="3" t="str">
        <f aca="false">IF(COUNTIF(Final_CB_ML3_V5!$C$2:$C$520,C227)&gt;=1,"YES","NO")</f>
        <v>NO</v>
      </c>
      <c r="G227" s="4"/>
      <c r="H227" s="4"/>
    </row>
    <row r="228" customFormat="false" ht="15.75" hidden="false" customHeight="false" outlineLevel="0" collapsed="false">
      <c r="B228" s="3" t="str">
        <f aca="false">IF(COUNTIF(Final_CB_ML3_V5!$B$2:$B$520,A228)&gt;=1,"YES","NO")</f>
        <v>NO</v>
      </c>
      <c r="D228" s="3" t="str">
        <f aca="false">IF(COUNTIF(Final_CB_ML3_V5!$C$2:$C$520,C228)&gt;=1,"YES","NO")</f>
        <v>NO</v>
      </c>
      <c r="G228" s="4"/>
      <c r="H228" s="4"/>
    </row>
    <row r="229" customFormat="false" ht="15.75" hidden="false" customHeight="false" outlineLevel="0" collapsed="false">
      <c r="B229" s="3" t="str">
        <f aca="false">IF(COUNTIF(Final_CB_ML3_V5!$B$2:$B$520,A229)&gt;=1,"YES","NO")</f>
        <v>NO</v>
      </c>
      <c r="D229" s="3" t="str">
        <f aca="false">IF(COUNTIF(Final_CB_ML3_V5!$C$2:$C$520,C229)&gt;=1,"YES","NO")</f>
        <v>NO</v>
      </c>
      <c r="G229" s="4"/>
      <c r="H229" s="4"/>
    </row>
    <row r="230" customFormat="false" ht="15.75" hidden="false" customHeight="false" outlineLevel="0" collapsed="false">
      <c r="B230" s="3" t="str">
        <f aca="false">IF(COUNTIF(Final_CB_ML3_V5!$B$2:$B$520,A230)&gt;=1,"YES","NO")</f>
        <v>NO</v>
      </c>
      <c r="D230" s="3" t="str">
        <f aca="false">IF(COUNTIF(Final_CB_ML3_V5!$C$2:$C$520,C230)&gt;=1,"YES","NO")</f>
        <v>NO</v>
      </c>
      <c r="G230" s="4"/>
      <c r="H230" s="4"/>
    </row>
    <row r="231" customFormat="false" ht="15.75" hidden="false" customHeight="false" outlineLevel="0" collapsed="false">
      <c r="B231" s="3" t="str">
        <f aca="false">IF(COUNTIF(Final_CB_ML3_V5!$B$2:$B$520,A231)&gt;=1,"YES","NO")</f>
        <v>NO</v>
      </c>
      <c r="D231" s="3" t="str">
        <f aca="false">IF(COUNTIF(Final_CB_ML3_V5!$C$2:$C$520,C231)&gt;=1,"YES","NO")</f>
        <v>NO</v>
      </c>
      <c r="G231" s="4"/>
      <c r="H231" s="4"/>
    </row>
    <row r="232" customFormat="false" ht="15.75" hidden="false" customHeight="false" outlineLevel="0" collapsed="false">
      <c r="B232" s="3" t="str">
        <f aca="false">IF(COUNTIF(Final_CB_ML3_V5!$B$2:$B$520,A232)&gt;=1,"YES","NO")</f>
        <v>NO</v>
      </c>
      <c r="D232" s="3" t="str">
        <f aca="false">IF(COUNTIF(Final_CB_ML3_V5!$C$2:$C$520,C232)&gt;=1,"YES","NO")</f>
        <v>NO</v>
      </c>
      <c r="G232" s="4"/>
      <c r="H232" s="4"/>
    </row>
    <row r="233" customFormat="false" ht="15.75" hidden="false" customHeight="false" outlineLevel="0" collapsed="false">
      <c r="B233" s="3" t="str">
        <f aca="false">IF(COUNTIF(Final_CB_ML3_V5!$B$2:$B$520,A233)&gt;=1,"YES","NO")</f>
        <v>NO</v>
      </c>
      <c r="D233" s="3" t="str">
        <f aca="false">IF(COUNTIF(Final_CB_ML3_V5!$C$2:$C$520,C233)&gt;=1,"YES","NO")</f>
        <v>NO</v>
      </c>
      <c r="G233" s="4"/>
      <c r="H233" s="4"/>
    </row>
    <row r="234" customFormat="false" ht="15.75" hidden="false" customHeight="false" outlineLevel="0" collapsed="false">
      <c r="B234" s="3" t="str">
        <f aca="false">IF(COUNTIF(Final_CB_ML3_V5!$B$2:$B$520,A234)&gt;=1,"YES","NO")</f>
        <v>NO</v>
      </c>
      <c r="D234" s="3" t="str">
        <f aca="false">IF(COUNTIF(Final_CB_ML3_V5!$C$2:$C$520,C234)&gt;=1,"YES","NO")</f>
        <v>NO</v>
      </c>
      <c r="G234" s="4"/>
      <c r="H234" s="4"/>
    </row>
    <row r="235" customFormat="false" ht="15.75" hidden="false" customHeight="false" outlineLevel="0" collapsed="false">
      <c r="B235" s="3" t="str">
        <f aca="false">IF(COUNTIF(Final_CB_ML3_V5!$B$2:$B$520,A235)&gt;=1,"YES","NO")</f>
        <v>NO</v>
      </c>
      <c r="D235" s="3" t="str">
        <f aca="false">IF(COUNTIF(Final_CB_ML3_V5!$C$2:$C$520,C235)&gt;=1,"YES","NO")</f>
        <v>NO</v>
      </c>
      <c r="G235" s="4"/>
      <c r="H235" s="4"/>
    </row>
    <row r="236" customFormat="false" ht="15.75" hidden="false" customHeight="false" outlineLevel="0" collapsed="false">
      <c r="B236" s="3" t="str">
        <f aca="false">IF(COUNTIF(Final_CB_ML3_V5!$B$2:$B$520,A236)&gt;=1,"YES","NO")</f>
        <v>NO</v>
      </c>
      <c r="D236" s="3" t="str">
        <f aca="false">IF(COUNTIF(Final_CB_ML3_V5!$C$2:$C$520,C236)&gt;=1,"YES","NO")</f>
        <v>NO</v>
      </c>
      <c r="G236" s="4"/>
      <c r="H236" s="4"/>
    </row>
    <row r="237" customFormat="false" ht="15.75" hidden="false" customHeight="false" outlineLevel="0" collapsed="false">
      <c r="B237" s="3" t="str">
        <f aca="false">IF(COUNTIF(Final_CB_ML3_V5!$B$2:$B$520,A237)&gt;=1,"YES","NO")</f>
        <v>NO</v>
      </c>
      <c r="D237" s="3" t="str">
        <f aca="false">IF(COUNTIF(Final_CB_ML3_V5!$C$2:$C$520,C237)&gt;=1,"YES","NO")</f>
        <v>NO</v>
      </c>
      <c r="G237" s="4"/>
      <c r="H237" s="4"/>
    </row>
    <row r="238" customFormat="false" ht="15.75" hidden="false" customHeight="false" outlineLevel="0" collapsed="false">
      <c r="B238" s="3" t="str">
        <f aca="false">IF(COUNTIF(Final_CB_ML3_V5!$B$2:$B$520,A238)&gt;=1,"YES","NO")</f>
        <v>NO</v>
      </c>
      <c r="D238" s="3" t="str">
        <f aca="false">IF(COUNTIF(Final_CB_ML3_V5!$C$2:$C$520,C238)&gt;=1,"YES","NO")</f>
        <v>NO</v>
      </c>
      <c r="G238" s="4"/>
      <c r="H238" s="4"/>
    </row>
    <row r="239" customFormat="false" ht="15.75" hidden="false" customHeight="false" outlineLevel="0" collapsed="false">
      <c r="B239" s="3" t="str">
        <f aca="false">IF(COUNTIF(Final_CB_ML3_V5!$B$2:$B$520,A239)&gt;=1,"YES","NO")</f>
        <v>NO</v>
      </c>
      <c r="D239" s="3" t="str">
        <f aca="false">IF(COUNTIF(Final_CB_ML3_V5!$C$2:$C$520,C239)&gt;=1,"YES","NO")</f>
        <v>NO</v>
      </c>
      <c r="G239" s="4"/>
      <c r="H239" s="4"/>
    </row>
    <row r="240" customFormat="false" ht="15.75" hidden="false" customHeight="false" outlineLevel="0" collapsed="false">
      <c r="B240" s="3" t="str">
        <f aca="false">IF(COUNTIF(Final_CB_ML3_V5!$B$2:$B$520,A240)&gt;=1,"YES","NO")</f>
        <v>NO</v>
      </c>
      <c r="D240" s="3" t="str">
        <f aca="false">IF(COUNTIF(Final_CB_ML3_V5!$C$2:$C$520,C240)&gt;=1,"YES","NO")</f>
        <v>NO</v>
      </c>
      <c r="G240" s="4"/>
      <c r="H240" s="4"/>
    </row>
    <row r="241" customFormat="false" ht="15.75" hidden="false" customHeight="false" outlineLevel="0" collapsed="false">
      <c r="B241" s="3" t="str">
        <f aca="false">IF(COUNTIF(Final_CB_ML3_V5!$B$2:$B$520,A241)&gt;=1,"YES","NO")</f>
        <v>NO</v>
      </c>
      <c r="D241" s="3" t="str">
        <f aca="false">IF(COUNTIF(Final_CB_ML3_V5!$C$2:$C$520,C241)&gt;=1,"YES","NO")</f>
        <v>NO</v>
      </c>
      <c r="G241" s="4"/>
      <c r="H241" s="4"/>
    </row>
    <row r="242" customFormat="false" ht="15.75" hidden="false" customHeight="false" outlineLevel="0" collapsed="false">
      <c r="B242" s="3" t="str">
        <f aca="false">IF(COUNTIF(Final_CB_ML3_V5!$B$2:$B$520,A242)&gt;=1,"YES","NO")</f>
        <v>NO</v>
      </c>
      <c r="D242" s="3" t="str">
        <f aca="false">IF(COUNTIF(Final_CB_ML3_V5!$C$2:$C$520,C242)&gt;=1,"YES","NO")</f>
        <v>NO</v>
      </c>
      <c r="G242" s="4"/>
      <c r="H242" s="4"/>
    </row>
    <row r="243" customFormat="false" ht="15.75" hidden="false" customHeight="false" outlineLevel="0" collapsed="false">
      <c r="B243" s="3" t="str">
        <f aca="false">IF(COUNTIF(Final_CB_ML3_V5!$B$2:$B$520,A243)&gt;=1,"YES","NO")</f>
        <v>NO</v>
      </c>
      <c r="D243" s="3" t="str">
        <f aca="false">IF(COUNTIF(Final_CB_ML3_V5!$C$2:$C$520,C243)&gt;=1,"YES","NO")</f>
        <v>NO</v>
      </c>
      <c r="G243" s="4"/>
      <c r="H243" s="4"/>
    </row>
    <row r="244" customFormat="false" ht="15.75" hidden="false" customHeight="false" outlineLevel="0" collapsed="false">
      <c r="B244" s="3" t="str">
        <f aca="false">IF(COUNTIF(Final_CB_ML3_V5!$B$2:$B$520,A244)&gt;=1,"YES","NO")</f>
        <v>NO</v>
      </c>
      <c r="D244" s="3" t="str">
        <f aca="false">IF(COUNTIF(Final_CB_ML3_V5!$C$2:$C$520,C244)&gt;=1,"YES","NO")</f>
        <v>NO</v>
      </c>
      <c r="G244" s="4"/>
      <c r="H244" s="4"/>
    </row>
    <row r="245" customFormat="false" ht="15.75" hidden="false" customHeight="false" outlineLevel="0" collapsed="false">
      <c r="B245" s="3" t="str">
        <f aca="false">IF(COUNTIF(Final_CB_ML3_V5!$B$2:$B$520,A245)&gt;=1,"YES","NO")</f>
        <v>NO</v>
      </c>
      <c r="D245" s="3" t="str">
        <f aca="false">IF(COUNTIF(Final_CB_ML3_V5!$C$2:$C$520,C245)&gt;=1,"YES","NO")</f>
        <v>NO</v>
      </c>
      <c r="G245" s="4"/>
      <c r="H245" s="4"/>
    </row>
    <row r="246" customFormat="false" ht="15.75" hidden="false" customHeight="false" outlineLevel="0" collapsed="false">
      <c r="B246" s="3" t="str">
        <f aca="false">IF(COUNTIF(Final_CB_ML3_V5!$B$2:$B$520,A246)&gt;=1,"YES","NO")</f>
        <v>NO</v>
      </c>
      <c r="D246" s="3" t="str">
        <f aca="false">IF(COUNTIF(Final_CB_ML3_V5!$C$2:$C$520,C246)&gt;=1,"YES","NO")</f>
        <v>NO</v>
      </c>
      <c r="G246" s="4"/>
      <c r="H246" s="4"/>
    </row>
    <row r="247" customFormat="false" ht="15.75" hidden="false" customHeight="false" outlineLevel="0" collapsed="false">
      <c r="B247" s="3" t="str">
        <f aca="false">IF(COUNTIF(Final_CB_ML3_V5!$B$2:$B$520,A247)&gt;=1,"YES","NO")</f>
        <v>NO</v>
      </c>
      <c r="D247" s="3" t="str">
        <f aca="false">IF(COUNTIF(Final_CB_ML3_V5!$C$2:$C$520,C247)&gt;=1,"YES","NO")</f>
        <v>NO</v>
      </c>
      <c r="G247" s="4"/>
      <c r="H247" s="4"/>
    </row>
    <row r="248" customFormat="false" ht="15.75" hidden="false" customHeight="false" outlineLevel="0" collapsed="false">
      <c r="B248" s="3" t="str">
        <f aca="false">IF(COUNTIF(Final_CB_ML3_V5!$B$2:$B$520,A248)&gt;=1,"YES","NO")</f>
        <v>NO</v>
      </c>
      <c r="D248" s="3" t="str">
        <f aca="false">IF(COUNTIF(Final_CB_ML3_V5!$C$2:$C$520,C248)&gt;=1,"YES","NO")</f>
        <v>NO</v>
      </c>
      <c r="G248" s="4"/>
      <c r="H248" s="4"/>
    </row>
    <row r="249" customFormat="false" ht="15.75" hidden="false" customHeight="false" outlineLevel="0" collapsed="false">
      <c r="B249" s="3" t="str">
        <f aca="false">IF(COUNTIF(Final_CB_ML3_V5!$B$2:$B$520,A249)&gt;=1,"YES","NO")</f>
        <v>NO</v>
      </c>
      <c r="D249" s="3" t="str">
        <f aca="false">IF(COUNTIF(Final_CB_ML3_V5!$C$2:$C$520,C249)&gt;=1,"YES","NO")</f>
        <v>NO</v>
      </c>
      <c r="G249" s="4"/>
      <c r="H249" s="4"/>
    </row>
    <row r="250" customFormat="false" ht="15.75" hidden="false" customHeight="false" outlineLevel="0" collapsed="false">
      <c r="B250" s="3" t="str">
        <f aca="false">IF(COUNTIF(Final_CB_ML3_V5!$B$2:$B$520,A250)&gt;=1,"YES","NO")</f>
        <v>NO</v>
      </c>
      <c r="D250" s="3" t="str">
        <f aca="false">IF(COUNTIF(Final_CB_ML3_V5!$C$2:$C$520,C250)&gt;=1,"YES","NO")</f>
        <v>NO</v>
      </c>
      <c r="G250" s="4"/>
      <c r="H250" s="4"/>
    </row>
    <row r="251" customFormat="false" ht="15.75" hidden="false" customHeight="false" outlineLevel="0" collapsed="false">
      <c r="B251" s="3" t="str">
        <f aca="false">IF(COUNTIF(Final_CB_ML3_V5!$B$2:$B$520,A251)&gt;=1,"YES","NO")</f>
        <v>NO</v>
      </c>
      <c r="D251" s="3" t="str">
        <f aca="false">IF(COUNTIF(Final_CB_ML3_V5!$C$2:$C$520,C251)&gt;=1,"YES","NO")</f>
        <v>NO</v>
      </c>
      <c r="G251" s="4"/>
      <c r="H251" s="4"/>
    </row>
    <row r="252" customFormat="false" ht="15.75" hidden="false" customHeight="false" outlineLevel="0" collapsed="false">
      <c r="B252" s="3" t="str">
        <f aca="false">IF(COUNTIF(Final_CB_ML3_V5!$B$2:$B$520,A252)&gt;=1,"YES","NO")</f>
        <v>NO</v>
      </c>
      <c r="D252" s="3" t="str">
        <f aca="false">IF(COUNTIF(Final_CB_ML3_V5!$C$2:$C$520,C252)&gt;=1,"YES","NO")</f>
        <v>NO</v>
      </c>
      <c r="G252" s="4"/>
      <c r="H252" s="4"/>
    </row>
    <row r="253" customFormat="false" ht="15.75" hidden="false" customHeight="false" outlineLevel="0" collapsed="false">
      <c r="B253" s="3" t="str">
        <f aca="false">IF(COUNTIF(Final_CB_ML3_V5!$B$2:$B$520,A253)&gt;=1,"YES","NO")</f>
        <v>NO</v>
      </c>
      <c r="D253" s="3" t="str">
        <f aca="false">IF(COUNTIF(Final_CB_ML3_V5!$C$2:$C$520,C253)&gt;=1,"YES","NO")</f>
        <v>NO</v>
      </c>
      <c r="G253" s="4"/>
      <c r="H253" s="4"/>
    </row>
    <row r="254" customFormat="false" ht="15.75" hidden="false" customHeight="false" outlineLevel="0" collapsed="false">
      <c r="B254" s="3" t="str">
        <f aca="false">IF(COUNTIF(Final_CB_ML3_V5!$B$2:$B$520,A254)&gt;=1,"YES","NO")</f>
        <v>NO</v>
      </c>
      <c r="D254" s="3" t="str">
        <f aca="false">IF(COUNTIF(Final_CB_ML3_V5!$C$2:$C$520,C254)&gt;=1,"YES","NO")</f>
        <v>NO</v>
      </c>
      <c r="G254" s="4"/>
      <c r="H254" s="4"/>
    </row>
    <row r="255" customFormat="false" ht="15.75" hidden="false" customHeight="false" outlineLevel="0" collapsed="false">
      <c r="B255" s="3" t="str">
        <f aca="false">IF(COUNTIF(Final_CB_ML3_V5!$B$2:$B$520,A255)&gt;=1,"YES","NO")</f>
        <v>NO</v>
      </c>
      <c r="D255" s="3" t="str">
        <f aca="false">IF(COUNTIF(Final_CB_ML3_V5!$C$2:$C$520,C255)&gt;=1,"YES","NO")</f>
        <v>NO</v>
      </c>
      <c r="G255" s="4"/>
      <c r="H255" s="4"/>
    </row>
    <row r="256" customFormat="false" ht="15.75" hidden="false" customHeight="false" outlineLevel="0" collapsed="false">
      <c r="B256" s="3" t="str">
        <f aca="false">IF(COUNTIF(Final_CB_ML3_V5!$B$2:$B$520,A256)&gt;=1,"YES","NO")</f>
        <v>NO</v>
      </c>
      <c r="D256" s="3" t="str">
        <f aca="false">IF(COUNTIF(Final_CB_ML3_V5!$C$2:$C$520,C256)&gt;=1,"YES","NO")</f>
        <v>NO</v>
      </c>
      <c r="G256" s="4"/>
      <c r="H256" s="4"/>
    </row>
    <row r="257" customFormat="false" ht="15.75" hidden="false" customHeight="false" outlineLevel="0" collapsed="false">
      <c r="B257" s="3" t="str">
        <f aca="false">IF(COUNTIF(Final_CB_ML3_V5!$B$2:$B$520,A257)&gt;=1,"YES","NO")</f>
        <v>NO</v>
      </c>
      <c r="D257" s="3" t="str">
        <f aca="false">IF(COUNTIF(Final_CB_ML3_V5!$C$2:$C$520,C257)&gt;=1,"YES","NO")</f>
        <v>NO</v>
      </c>
      <c r="G257" s="4"/>
      <c r="H257" s="4"/>
    </row>
    <row r="258" customFormat="false" ht="15.75" hidden="false" customHeight="false" outlineLevel="0" collapsed="false">
      <c r="B258" s="3" t="str">
        <f aca="false">IF(COUNTIF(Final_CB_ML3_V5!$B$2:$B$520,A258)&gt;=1,"YES","NO")</f>
        <v>NO</v>
      </c>
      <c r="D258" s="3" t="str">
        <f aca="false">IF(COUNTIF(Final_CB_ML3_V5!$C$2:$C$520,C258)&gt;=1,"YES","NO")</f>
        <v>NO</v>
      </c>
      <c r="G258" s="4"/>
      <c r="H258" s="4"/>
    </row>
    <row r="259" customFormat="false" ht="15.75" hidden="false" customHeight="false" outlineLevel="0" collapsed="false">
      <c r="B259" s="3" t="str">
        <f aca="false">IF(COUNTIF(Final_CB_ML3_V5!$B$2:$B$520,A259)&gt;=1,"YES","NO")</f>
        <v>NO</v>
      </c>
      <c r="D259" s="3" t="str">
        <f aca="false">IF(COUNTIF(Final_CB_ML3_V5!$C$2:$C$520,C259)&gt;=1,"YES","NO")</f>
        <v>NO</v>
      </c>
      <c r="G259" s="4"/>
      <c r="H259" s="4"/>
    </row>
    <row r="260" customFormat="false" ht="15.75" hidden="false" customHeight="false" outlineLevel="0" collapsed="false">
      <c r="B260" s="3" t="str">
        <f aca="false">IF(COUNTIF(Final_CB_ML3_V5!$B$2:$B$520,A260)&gt;=1,"YES","NO")</f>
        <v>NO</v>
      </c>
      <c r="D260" s="3" t="str">
        <f aca="false">IF(COUNTIF(Final_CB_ML3_V5!$C$2:$C$520,C260)&gt;=1,"YES","NO")</f>
        <v>NO</v>
      </c>
      <c r="G260" s="4"/>
      <c r="H260" s="4"/>
    </row>
    <row r="261" customFormat="false" ht="15.75" hidden="false" customHeight="false" outlineLevel="0" collapsed="false">
      <c r="B261" s="3" t="str">
        <f aca="false">IF(COUNTIF(Final_CB_ML3_V5!$B$2:$B$520,A261)&gt;=1,"YES","NO")</f>
        <v>NO</v>
      </c>
      <c r="D261" s="3" t="str">
        <f aca="false">IF(COUNTIF(Final_CB_ML3_V5!$C$2:$C$520,C261)&gt;=1,"YES","NO")</f>
        <v>NO</v>
      </c>
      <c r="G261" s="4"/>
      <c r="H261" s="4"/>
    </row>
    <row r="262" customFormat="false" ht="15.75" hidden="false" customHeight="false" outlineLevel="0" collapsed="false">
      <c r="B262" s="3" t="str">
        <f aca="false">IF(COUNTIF(Final_CB_ML3_V5!$B$2:$B$520,A262)&gt;=1,"YES","NO")</f>
        <v>NO</v>
      </c>
      <c r="D262" s="3" t="str">
        <f aca="false">IF(COUNTIF(Final_CB_ML3_V5!$C$2:$C$520,C262)&gt;=1,"YES","NO")</f>
        <v>NO</v>
      </c>
      <c r="G262" s="4"/>
      <c r="H262" s="4"/>
    </row>
    <row r="263" customFormat="false" ht="15.75" hidden="false" customHeight="false" outlineLevel="0" collapsed="false">
      <c r="B263" s="3" t="str">
        <f aca="false">IF(COUNTIF(Final_CB_ML3_V5!$B$2:$B$520,A263)&gt;=1,"YES","NO")</f>
        <v>NO</v>
      </c>
      <c r="D263" s="3" t="str">
        <f aca="false">IF(COUNTIF(Final_CB_ML3_V5!$C$2:$C$520,C263)&gt;=1,"YES","NO")</f>
        <v>NO</v>
      </c>
      <c r="G263" s="4"/>
      <c r="H263" s="4"/>
    </row>
    <row r="264" customFormat="false" ht="15.75" hidden="false" customHeight="false" outlineLevel="0" collapsed="false">
      <c r="B264" s="3" t="str">
        <f aca="false">IF(COUNTIF(Final_CB_ML3_V5!$B$2:$B$520,A264)&gt;=1,"YES","NO")</f>
        <v>NO</v>
      </c>
      <c r="D264" s="3" t="str">
        <f aca="false">IF(COUNTIF(Final_CB_ML3_V5!$C$2:$C$520,C264)&gt;=1,"YES","NO")</f>
        <v>NO</v>
      </c>
      <c r="G264" s="4"/>
      <c r="H264" s="4"/>
    </row>
    <row r="265" customFormat="false" ht="15.75" hidden="false" customHeight="false" outlineLevel="0" collapsed="false">
      <c r="B265" s="3" t="str">
        <f aca="false">IF(COUNTIF(Final_CB_ML3_V5!$B$2:$B$520,A265)&gt;=1,"YES","NO")</f>
        <v>NO</v>
      </c>
      <c r="D265" s="3" t="str">
        <f aca="false">IF(COUNTIF(Final_CB_ML3_V5!$C$2:$C$520,C265)&gt;=1,"YES","NO")</f>
        <v>NO</v>
      </c>
      <c r="G265" s="4"/>
      <c r="H265" s="4"/>
    </row>
    <row r="266" customFormat="false" ht="15.75" hidden="false" customHeight="false" outlineLevel="0" collapsed="false">
      <c r="B266" s="3" t="str">
        <f aca="false">IF(COUNTIF(Final_CB_ML3_V5!$B$2:$B$520,A266)&gt;=1,"YES","NO")</f>
        <v>NO</v>
      </c>
      <c r="D266" s="3" t="str">
        <f aca="false">IF(COUNTIF(Final_CB_ML3_V5!$C$2:$C$520,C266)&gt;=1,"YES","NO")</f>
        <v>NO</v>
      </c>
      <c r="G266" s="4"/>
      <c r="H266" s="4"/>
    </row>
    <row r="267" customFormat="false" ht="15.75" hidden="false" customHeight="false" outlineLevel="0" collapsed="false">
      <c r="B267" s="3" t="str">
        <f aca="false">IF(COUNTIF(Final_CB_ML3_V5!$B$2:$B$520,A267)&gt;=1,"YES","NO")</f>
        <v>NO</v>
      </c>
      <c r="D267" s="3" t="str">
        <f aca="false">IF(COUNTIF(Final_CB_ML3_V5!$C$2:$C$520,C267)&gt;=1,"YES","NO")</f>
        <v>NO</v>
      </c>
      <c r="G267" s="4"/>
      <c r="H267" s="4"/>
    </row>
    <row r="268" customFormat="false" ht="15.75" hidden="false" customHeight="false" outlineLevel="0" collapsed="false">
      <c r="B268" s="3" t="str">
        <f aca="false">IF(COUNTIF(Final_CB_ML3_V5!$B$2:$B$520,A268)&gt;=1,"YES","NO")</f>
        <v>NO</v>
      </c>
      <c r="D268" s="3" t="str">
        <f aca="false">IF(COUNTIF(Final_CB_ML3_V5!$C$2:$C$520,C268)&gt;=1,"YES","NO")</f>
        <v>NO</v>
      </c>
      <c r="G268" s="4"/>
      <c r="H268" s="4"/>
    </row>
    <row r="269" customFormat="false" ht="15.75" hidden="false" customHeight="false" outlineLevel="0" collapsed="false">
      <c r="B269" s="3" t="str">
        <f aca="false">IF(COUNTIF(Final_CB_ML3_V5!$B$2:$B$520,A269)&gt;=1,"YES","NO")</f>
        <v>NO</v>
      </c>
      <c r="D269" s="3" t="str">
        <f aca="false">IF(COUNTIF(Final_CB_ML3_V5!$C$2:$C$520,C269)&gt;=1,"YES","NO")</f>
        <v>NO</v>
      </c>
      <c r="G269" s="4"/>
      <c r="H269" s="4"/>
    </row>
    <row r="270" customFormat="false" ht="15.75" hidden="false" customHeight="false" outlineLevel="0" collapsed="false">
      <c r="B270" s="3" t="str">
        <f aca="false">IF(COUNTIF(Final_CB_ML3_V5!$B$2:$B$520,A270)&gt;=1,"YES","NO")</f>
        <v>NO</v>
      </c>
      <c r="D270" s="3" t="str">
        <f aca="false">IF(COUNTIF(Final_CB_ML3_V5!$C$2:$C$520,C270)&gt;=1,"YES","NO")</f>
        <v>NO</v>
      </c>
      <c r="G270" s="4"/>
      <c r="H270" s="4"/>
    </row>
    <row r="271" customFormat="false" ht="15.75" hidden="false" customHeight="false" outlineLevel="0" collapsed="false">
      <c r="B271" s="3" t="str">
        <f aca="false">IF(COUNTIF(Final_CB_ML3_V5!$B$2:$B$520,A271)&gt;=1,"YES","NO")</f>
        <v>NO</v>
      </c>
      <c r="D271" s="3" t="str">
        <f aca="false">IF(COUNTIF(Final_CB_ML3_V5!$C$2:$C$520,C271)&gt;=1,"YES","NO")</f>
        <v>NO</v>
      </c>
      <c r="G271" s="4"/>
      <c r="H271" s="4"/>
    </row>
    <row r="272" customFormat="false" ht="15.75" hidden="false" customHeight="false" outlineLevel="0" collapsed="false">
      <c r="B272" s="3" t="str">
        <f aca="false">IF(COUNTIF(Final_CB_ML3_V5!$B$2:$B$520,A272)&gt;=1,"YES","NO")</f>
        <v>NO</v>
      </c>
      <c r="D272" s="3" t="str">
        <f aca="false">IF(COUNTIF(Final_CB_ML3_V5!$C$2:$C$520,C272)&gt;=1,"YES","NO")</f>
        <v>NO</v>
      </c>
      <c r="G272" s="4"/>
      <c r="H272" s="4"/>
    </row>
    <row r="273" customFormat="false" ht="15.75" hidden="false" customHeight="false" outlineLevel="0" collapsed="false">
      <c r="B273" s="3" t="str">
        <f aca="false">IF(COUNTIF(Final_CB_ML3_V5!$B$2:$B$520,A273)&gt;=1,"YES","NO")</f>
        <v>NO</v>
      </c>
      <c r="D273" s="3" t="str">
        <f aca="false">IF(COUNTIF(Final_CB_ML3_V5!$C$2:$C$520,C273)&gt;=1,"YES","NO")</f>
        <v>NO</v>
      </c>
      <c r="G273" s="4"/>
      <c r="H273" s="4"/>
    </row>
    <row r="274" customFormat="false" ht="15.75" hidden="false" customHeight="false" outlineLevel="0" collapsed="false">
      <c r="B274" s="3" t="str">
        <f aca="false">IF(COUNTIF(Final_CB_ML3_V5!$B$2:$B$520,A274)&gt;=1,"YES","NO")</f>
        <v>NO</v>
      </c>
      <c r="D274" s="3" t="str">
        <f aca="false">IF(COUNTIF(Final_CB_ML3_V5!$C$2:$C$520,C274)&gt;=1,"YES","NO")</f>
        <v>NO</v>
      </c>
      <c r="G274" s="4"/>
      <c r="H274" s="4"/>
    </row>
    <row r="275" customFormat="false" ht="15.75" hidden="false" customHeight="false" outlineLevel="0" collapsed="false">
      <c r="B275" s="3" t="str">
        <f aca="false">IF(COUNTIF(Final_CB_ML3_V5!$B$2:$B$520,A275)&gt;=1,"YES","NO")</f>
        <v>NO</v>
      </c>
      <c r="D275" s="3" t="str">
        <f aca="false">IF(COUNTIF(Final_CB_ML3_V5!$C$2:$C$520,C275)&gt;=1,"YES","NO")</f>
        <v>NO</v>
      </c>
      <c r="G275" s="4"/>
      <c r="H275" s="4"/>
    </row>
    <row r="276" customFormat="false" ht="15.75" hidden="false" customHeight="false" outlineLevel="0" collapsed="false">
      <c r="B276" s="3" t="str">
        <f aca="false">IF(COUNTIF(Final_CB_ML3_V5!$B$2:$B$520,A276)&gt;=1,"YES","NO")</f>
        <v>NO</v>
      </c>
      <c r="D276" s="3" t="str">
        <f aca="false">IF(COUNTIF(Final_CB_ML3_V5!$C$2:$C$520,C276)&gt;=1,"YES","NO")</f>
        <v>NO</v>
      </c>
      <c r="G276" s="4"/>
      <c r="H276" s="4"/>
    </row>
    <row r="277" customFormat="false" ht="15.75" hidden="false" customHeight="false" outlineLevel="0" collapsed="false">
      <c r="B277" s="3" t="str">
        <f aca="false">IF(COUNTIF(Final_CB_ML3_V5!$B$2:$B$520,A277)&gt;=1,"YES","NO")</f>
        <v>NO</v>
      </c>
      <c r="D277" s="3" t="str">
        <f aca="false">IF(COUNTIF(Final_CB_ML3_V5!$C$2:$C$520,C277)&gt;=1,"YES","NO")</f>
        <v>NO</v>
      </c>
      <c r="G277" s="4"/>
      <c r="H277" s="4"/>
    </row>
    <row r="278" customFormat="false" ht="15.75" hidden="false" customHeight="false" outlineLevel="0" collapsed="false">
      <c r="B278" s="3" t="str">
        <f aca="false">IF(COUNTIF(Final_CB_ML3_V5!$B$2:$B$520,A278)&gt;=1,"YES","NO")</f>
        <v>NO</v>
      </c>
      <c r="D278" s="3" t="str">
        <f aca="false">IF(COUNTIF(Final_CB_ML3_V5!$C$2:$C$520,C278)&gt;=1,"YES","NO")</f>
        <v>NO</v>
      </c>
      <c r="G278" s="4"/>
      <c r="H278" s="4"/>
    </row>
    <row r="279" customFormat="false" ht="15.75" hidden="false" customHeight="false" outlineLevel="0" collapsed="false">
      <c r="B279" s="3" t="str">
        <f aca="false">IF(COUNTIF(Final_CB_ML3_V5!$B$2:$B$520,A279)&gt;=1,"YES","NO")</f>
        <v>NO</v>
      </c>
      <c r="D279" s="3" t="str">
        <f aca="false">IF(COUNTIF(Final_CB_ML3_V5!$C$2:$C$520,C279)&gt;=1,"YES","NO")</f>
        <v>NO</v>
      </c>
      <c r="G279" s="4"/>
      <c r="H279" s="4"/>
    </row>
    <row r="280" customFormat="false" ht="15.75" hidden="false" customHeight="false" outlineLevel="0" collapsed="false">
      <c r="B280" s="3" t="str">
        <f aca="false">IF(COUNTIF(Final_CB_ML3_V5!$B$2:$B$520,A280)&gt;=1,"YES","NO")</f>
        <v>NO</v>
      </c>
      <c r="D280" s="3" t="str">
        <f aca="false">IF(COUNTIF(Final_CB_ML3_V5!$C$2:$C$520,C280)&gt;=1,"YES","NO")</f>
        <v>NO</v>
      </c>
      <c r="G280" s="4"/>
      <c r="H280" s="4"/>
    </row>
    <row r="281" customFormat="false" ht="15.75" hidden="false" customHeight="false" outlineLevel="0" collapsed="false">
      <c r="B281" s="3" t="str">
        <f aca="false">IF(COUNTIF(Final_CB_ML3_V5!$B$2:$B$520,A281)&gt;=1,"YES","NO")</f>
        <v>NO</v>
      </c>
      <c r="D281" s="3" t="str">
        <f aca="false">IF(COUNTIF(Final_CB_ML3_V5!$C$2:$C$520,C281)&gt;=1,"YES","NO")</f>
        <v>NO</v>
      </c>
      <c r="G281" s="4"/>
      <c r="H281" s="4"/>
    </row>
    <row r="282" customFormat="false" ht="15.75" hidden="false" customHeight="false" outlineLevel="0" collapsed="false">
      <c r="B282" s="3" t="str">
        <f aca="false">IF(COUNTIF(Final_CB_ML3_V5!$B$2:$B$520,A282)&gt;=1,"YES","NO")</f>
        <v>NO</v>
      </c>
      <c r="D282" s="3" t="str">
        <f aca="false">IF(COUNTIF(Final_CB_ML3_V5!$C$2:$C$520,C282)&gt;=1,"YES","NO")</f>
        <v>NO</v>
      </c>
      <c r="G282" s="4"/>
      <c r="H282" s="4"/>
    </row>
    <row r="283" customFormat="false" ht="15.75" hidden="false" customHeight="false" outlineLevel="0" collapsed="false">
      <c r="B283" s="3" t="str">
        <f aca="false">IF(COUNTIF(Final_CB_ML3_V5!$B$2:$B$520,A283)&gt;=1,"YES","NO")</f>
        <v>NO</v>
      </c>
      <c r="D283" s="3" t="str">
        <f aca="false">IF(COUNTIF(Final_CB_ML3_V5!$C$2:$C$520,C283)&gt;=1,"YES","NO")</f>
        <v>NO</v>
      </c>
      <c r="G283" s="4"/>
      <c r="H283" s="4"/>
    </row>
    <row r="284" customFormat="false" ht="15.75" hidden="false" customHeight="false" outlineLevel="0" collapsed="false">
      <c r="B284" s="3" t="str">
        <f aca="false">IF(COUNTIF(Final_CB_ML3_V5!$B$2:$B$520,A284)&gt;=1,"YES","NO")</f>
        <v>NO</v>
      </c>
      <c r="D284" s="3" t="str">
        <f aca="false">IF(COUNTIF(Final_CB_ML3_V5!$C$2:$C$520,C284)&gt;=1,"YES","NO")</f>
        <v>NO</v>
      </c>
      <c r="G284" s="4"/>
      <c r="H284" s="4"/>
    </row>
    <row r="285" customFormat="false" ht="15.75" hidden="false" customHeight="false" outlineLevel="0" collapsed="false">
      <c r="B285" s="3" t="str">
        <f aca="false">IF(COUNTIF(Final_CB_ML3_V5!$B$2:$B$520,A285)&gt;=1,"YES","NO")</f>
        <v>NO</v>
      </c>
      <c r="D285" s="3" t="str">
        <f aca="false">IF(COUNTIF(Final_CB_ML3_V5!$C$2:$C$520,C285)&gt;=1,"YES","NO")</f>
        <v>NO</v>
      </c>
      <c r="G285" s="4"/>
      <c r="H285" s="4"/>
    </row>
    <row r="286" customFormat="false" ht="15.75" hidden="false" customHeight="false" outlineLevel="0" collapsed="false">
      <c r="B286" s="3" t="str">
        <f aca="false">IF(COUNTIF(Final_CB_ML3_V5!$B$2:$B$520,A286)&gt;=1,"YES","NO")</f>
        <v>NO</v>
      </c>
      <c r="D286" s="3" t="str">
        <f aca="false">IF(COUNTIF(Final_CB_ML3_V5!$C$2:$C$520,C286)&gt;=1,"YES","NO")</f>
        <v>NO</v>
      </c>
      <c r="G286" s="4"/>
      <c r="H286" s="4"/>
    </row>
    <row r="287" customFormat="false" ht="15.75" hidden="false" customHeight="false" outlineLevel="0" collapsed="false">
      <c r="B287" s="3" t="str">
        <f aca="false">IF(COUNTIF(Final_CB_ML3_V5!$B$2:$B$520,A287)&gt;=1,"YES","NO")</f>
        <v>NO</v>
      </c>
      <c r="D287" s="3" t="str">
        <f aca="false">IF(COUNTIF(Final_CB_ML3_V5!$C$2:$C$520,C287)&gt;=1,"YES","NO")</f>
        <v>NO</v>
      </c>
      <c r="G287" s="4"/>
      <c r="H287" s="4"/>
    </row>
    <row r="288" customFormat="false" ht="15.75" hidden="false" customHeight="false" outlineLevel="0" collapsed="false">
      <c r="B288" s="3" t="str">
        <f aca="false">IF(COUNTIF(Final_CB_ML3_V5!$B$2:$B$520,A288)&gt;=1,"YES","NO")</f>
        <v>NO</v>
      </c>
      <c r="D288" s="3" t="str">
        <f aca="false">IF(COUNTIF(Final_CB_ML3_V5!$C$2:$C$520,C288)&gt;=1,"YES","NO")</f>
        <v>NO</v>
      </c>
      <c r="G288" s="4"/>
      <c r="H288" s="4"/>
    </row>
    <row r="289" customFormat="false" ht="15.75" hidden="false" customHeight="false" outlineLevel="0" collapsed="false">
      <c r="B289" s="3" t="str">
        <f aca="false">IF(COUNTIF(Final_CB_ML3_V5!$B$2:$B$520,A289)&gt;=1,"YES","NO")</f>
        <v>NO</v>
      </c>
      <c r="D289" s="3" t="str">
        <f aca="false">IF(COUNTIF(Final_CB_ML3_V5!$C$2:$C$520,C289)&gt;=1,"YES","NO")</f>
        <v>NO</v>
      </c>
      <c r="G289" s="4"/>
      <c r="H289" s="4"/>
    </row>
    <row r="290" customFormat="false" ht="15.75" hidden="false" customHeight="false" outlineLevel="0" collapsed="false">
      <c r="B290" s="3" t="str">
        <f aca="false">IF(COUNTIF(Final_CB_ML3_V5!$B$2:$B$520,A290)&gt;=1,"YES","NO")</f>
        <v>NO</v>
      </c>
      <c r="D290" s="3" t="str">
        <f aca="false">IF(COUNTIF(Final_CB_ML3_V5!$C$2:$C$520,C290)&gt;=1,"YES","NO")</f>
        <v>NO</v>
      </c>
      <c r="G290" s="4"/>
      <c r="H290" s="4"/>
    </row>
    <row r="291" customFormat="false" ht="15.75" hidden="false" customHeight="false" outlineLevel="0" collapsed="false">
      <c r="B291" s="3" t="str">
        <f aca="false">IF(COUNTIF(Final_CB_ML3_V5!$B$2:$B$520,A291)&gt;=1,"YES","NO")</f>
        <v>NO</v>
      </c>
      <c r="D291" s="3" t="str">
        <f aca="false">IF(COUNTIF(Final_CB_ML3_V5!$C$2:$C$520,C291)&gt;=1,"YES","NO")</f>
        <v>NO</v>
      </c>
      <c r="G291" s="4"/>
      <c r="H291" s="4"/>
    </row>
    <row r="292" customFormat="false" ht="15.75" hidden="false" customHeight="false" outlineLevel="0" collapsed="false">
      <c r="B292" s="3" t="str">
        <f aca="false">IF(COUNTIF(Final_CB_ML3_V5!$B$2:$B$520,A292)&gt;=1,"YES","NO")</f>
        <v>NO</v>
      </c>
      <c r="D292" s="3" t="str">
        <f aca="false">IF(COUNTIF(Final_CB_ML3_V5!$C$2:$C$520,C292)&gt;=1,"YES","NO")</f>
        <v>NO</v>
      </c>
      <c r="G292" s="4"/>
      <c r="H292" s="4"/>
    </row>
    <row r="293" customFormat="false" ht="15.75" hidden="false" customHeight="false" outlineLevel="0" collapsed="false">
      <c r="B293" s="3" t="str">
        <f aca="false">IF(COUNTIF(Final_CB_ML3_V5!$B$2:$B$520,A293)&gt;=1,"YES","NO")</f>
        <v>NO</v>
      </c>
      <c r="D293" s="3" t="str">
        <f aca="false">IF(COUNTIF(Final_CB_ML3_V5!$C$2:$C$520,C293)&gt;=1,"YES","NO")</f>
        <v>NO</v>
      </c>
      <c r="G293" s="4"/>
      <c r="H293" s="4"/>
    </row>
    <row r="294" customFormat="false" ht="15.75" hidden="false" customHeight="false" outlineLevel="0" collapsed="false">
      <c r="B294" s="3" t="str">
        <f aca="false">IF(COUNTIF(Final_CB_ML3_V5!$B$2:$B$520,A294)&gt;=1,"YES","NO")</f>
        <v>NO</v>
      </c>
      <c r="D294" s="3" t="str">
        <f aca="false">IF(COUNTIF(Final_CB_ML3_V5!$C$2:$C$520,C294)&gt;=1,"YES","NO")</f>
        <v>NO</v>
      </c>
      <c r="G294" s="4"/>
      <c r="H294" s="4"/>
    </row>
    <row r="295" customFormat="false" ht="15.75" hidden="false" customHeight="false" outlineLevel="0" collapsed="false">
      <c r="B295" s="3" t="str">
        <f aca="false">IF(COUNTIF(Final_CB_ML3_V5!$B$2:$B$520,A295)&gt;=1,"YES","NO")</f>
        <v>NO</v>
      </c>
      <c r="D295" s="3" t="str">
        <f aca="false">IF(COUNTIF(Final_CB_ML3_V5!$C$2:$C$520,C295)&gt;=1,"YES","NO")</f>
        <v>NO</v>
      </c>
      <c r="G295" s="4"/>
      <c r="H295" s="4"/>
    </row>
    <row r="296" customFormat="false" ht="15.75" hidden="false" customHeight="false" outlineLevel="0" collapsed="false">
      <c r="B296" s="3" t="str">
        <f aca="false">IF(COUNTIF(Final_CB_ML3_V5!$B$2:$B$520,A296)&gt;=1,"YES","NO")</f>
        <v>NO</v>
      </c>
      <c r="D296" s="3" t="str">
        <f aca="false">IF(COUNTIF(Final_CB_ML3_V5!$C$2:$C$520,C296)&gt;=1,"YES","NO")</f>
        <v>NO</v>
      </c>
      <c r="G296" s="4"/>
      <c r="H296" s="4"/>
    </row>
    <row r="297" customFormat="false" ht="15.75" hidden="false" customHeight="false" outlineLevel="0" collapsed="false">
      <c r="B297" s="3" t="str">
        <f aca="false">IF(COUNTIF(Final_CB_ML3_V5!$B$2:$B$520,A297)&gt;=1,"YES","NO")</f>
        <v>NO</v>
      </c>
      <c r="D297" s="3" t="str">
        <f aca="false">IF(COUNTIF(Final_CB_ML3_V5!$C$2:$C$520,C297)&gt;=1,"YES","NO")</f>
        <v>NO</v>
      </c>
      <c r="G297" s="4"/>
      <c r="H297" s="4"/>
    </row>
    <row r="298" customFormat="false" ht="15.75" hidden="false" customHeight="false" outlineLevel="0" collapsed="false">
      <c r="B298" s="3" t="str">
        <f aca="false">IF(COUNTIF(Final_CB_ML3_V5!$B$2:$B$520,A298)&gt;=1,"YES","NO")</f>
        <v>NO</v>
      </c>
      <c r="D298" s="3" t="str">
        <f aca="false">IF(COUNTIF(Final_CB_ML3_V5!$C$2:$C$520,C298)&gt;=1,"YES","NO")</f>
        <v>NO</v>
      </c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  <row r="628" customFormat="false" ht="15.75" hidden="false" customHeight="false" outlineLevel="0" collapsed="false">
      <c r="G628" s="4"/>
      <c r="H628" s="4"/>
    </row>
    <row r="629" customFormat="false" ht="15.75" hidden="false" customHeight="false" outlineLevel="0" collapsed="false">
      <c r="G629" s="4"/>
      <c r="H629" s="4"/>
    </row>
    <row r="630" customFormat="false" ht="15.75" hidden="false" customHeight="false" outlineLevel="0" collapsed="false">
      <c r="G630" s="4"/>
      <c r="H630" s="4"/>
    </row>
    <row r="631" customFormat="false" ht="15.75" hidden="false" customHeight="false" outlineLevel="0" collapsed="false">
      <c r="G631" s="4"/>
      <c r="H631" s="4"/>
    </row>
    <row r="632" customFormat="false" ht="15.75" hidden="false" customHeight="false" outlineLevel="0" collapsed="false">
      <c r="G632" s="4"/>
      <c r="H632" s="4"/>
    </row>
    <row r="633" customFormat="false" ht="15.75" hidden="false" customHeight="false" outlineLevel="0" collapsed="false">
      <c r="G633" s="4"/>
      <c r="H633" s="4"/>
    </row>
    <row r="634" customFormat="false" ht="15.75" hidden="false" customHeight="false" outlineLevel="0" collapsed="false">
      <c r="G634" s="4"/>
      <c r="H634" s="4"/>
    </row>
    <row r="635" customFormat="false" ht="15.75" hidden="false" customHeight="false" outlineLevel="0" collapsed="false">
      <c r="G635" s="4"/>
      <c r="H635" s="4"/>
    </row>
    <row r="636" customFormat="false" ht="15.75" hidden="false" customHeight="false" outlineLevel="0" collapsed="false">
      <c r="G636" s="4"/>
      <c r="H636" s="4"/>
    </row>
    <row r="637" customFormat="false" ht="15.75" hidden="false" customHeight="false" outlineLevel="0" collapsed="false">
      <c r="G637" s="4"/>
      <c r="H637" s="4"/>
    </row>
    <row r="638" customFormat="false" ht="15.75" hidden="false" customHeight="false" outlineLevel="0" collapsed="false">
      <c r="G638" s="4"/>
      <c r="H638" s="4"/>
    </row>
    <row r="639" customFormat="false" ht="15.75" hidden="false" customHeight="false" outlineLevel="0" collapsed="false">
      <c r="G639" s="4"/>
      <c r="H639" s="4"/>
    </row>
    <row r="640" customFormat="false" ht="15.75" hidden="false" customHeight="false" outlineLevel="0" collapsed="false">
      <c r="G640" s="4"/>
      <c r="H640" s="4"/>
    </row>
    <row r="641" customFormat="false" ht="15.75" hidden="false" customHeight="false" outlineLevel="0" collapsed="false">
      <c r="G641" s="4"/>
      <c r="H641" s="4"/>
    </row>
    <row r="642" customFormat="false" ht="15.75" hidden="false" customHeight="false" outlineLevel="0" collapsed="false">
      <c r="G642" s="4"/>
      <c r="H642" s="4"/>
    </row>
    <row r="643" customFormat="false" ht="15.75" hidden="false" customHeight="false" outlineLevel="0" collapsed="false">
      <c r="G643" s="4"/>
      <c r="H643" s="4"/>
    </row>
    <row r="644" customFormat="false" ht="15.75" hidden="false" customHeight="false" outlineLevel="0" collapsed="false">
      <c r="G644" s="4"/>
      <c r="H644" s="4"/>
    </row>
    <row r="645" customFormat="false" ht="15.75" hidden="false" customHeight="false" outlineLevel="0" collapsed="false">
      <c r="G645" s="4"/>
      <c r="H645" s="4"/>
    </row>
    <row r="646" customFormat="false" ht="15.75" hidden="false" customHeight="false" outlineLevel="0" collapsed="false">
      <c r="G646" s="4"/>
      <c r="H646" s="4"/>
    </row>
    <row r="647" customFormat="false" ht="15.75" hidden="false" customHeight="false" outlineLevel="0" collapsed="false">
      <c r="G647" s="4"/>
      <c r="H647" s="4"/>
    </row>
    <row r="648" customFormat="false" ht="15.75" hidden="false" customHeight="false" outlineLevel="0" collapsed="false">
      <c r="G648" s="4"/>
      <c r="H648" s="4"/>
    </row>
    <row r="649" customFormat="false" ht="15.75" hidden="false" customHeight="false" outlineLevel="0" collapsed="false">
      <c r="G649" s="4"/>
      <c r="H649" s="4"/>
    </row>
    <row r="650" customFormat="false" ht="15.75" hidden="false" customHeight="false" outlineLevel="0" collapsed="false">
      <c r="G650" s="4"/>
      <c r="H650" s="4"/>
    </row>
    <row r="651" customFormat="false" ht="15.75" hidden="false" customHeight="false" outlineLevel="0" collapsed="false">
      <c r="G651" s="4"/>
      <c r="H651" s="4"/>
    </row>
    <row r="652" customFormat="false" ht="15.75" hidden="false" customHeight="false" outlineLevel="0" collapsed="false">
      <c r="G652" s="4"/>
      <c r="H652" s="4"/>
    </row>
    <row r="653" customFormat="false" ht="15.75" hidden="false" customHeight="false" outlineLevel="0" collapsed="false">
      <c r="G653" s="4"/>
      <c r="H653" s="4"/>
    </row>
    <row r="654" customFormat="false" ht="15.75" hidden="false" customHeight="false" outlineLevel="0" collapsed="false">
      <c r="G654" s="4"/>
      <c r="H654" s="4"/>
    </row>
    <row r="655" customFormat="false" ht="15.75" hidden="false" customHeight="false" outlineLevel="0" collapsed="false">
      <c r="G655" s="4"/>
      <c r="H655" s="4"/>
    </row>
    <row r="656" customFormat="false" ht="15.75" hidden="false" customHeight="false" outlineLevel="0" collapsed="false">
      <c r="G656" s="4"/>
      <c r="H656" s="4"/>
    </row>
    <row r="657" customFormat="false" ht="15.75" hidden="false" customHeight="false" outlineLevel="0" collapsed="false">
      <c r="G657" s="4"/>
      <c r="H657" s="4"/>
    </row>
    <row r="658" customFormat="false" ht="15.75" hidden="false" customHeight="false" outlineLevel="0" collapsed="false">
      <c r="G658" s="4"/>
      <c r="H658" s="4"/>
    </row>
    <row r="659" customFormat="false" ht="15.75" hidden="false" customHeight="false" outlineLevel="0" collapsed="false">
      <c r="G659" s="4"/>
      <c r="H659" s="4"/>
    </row>
    <row r="660" customFormat="false" ht="15.75" hidden="false" customHeight="false" outlineLevel="0" collapsed="false">
      <c r="G660" s="4"/>
      <c r="H660" s="4"/>
    </row>
    <row r="661" customFormat="false" ht="15.75" hidden="false" customHeight="false" outlineLevel="0" collapsed="false">
      <c r="G661" s="4"/>
      <c r="H661" s="4"/>
    </row>
    <row r="662" customFormat="false" ht="15.75" hidden="false" customHeight="false" outlineLevel="0" collapsed="false">
      <c r="G662" s="4"/>
      <c r="H662" s="4"/>
    </row>
    <row r="663" customFormat="false" ht="15.75" hidden="false" customHeight="false" outlineLevel="0" collapsed="false">
      <c r="G663" s="4"/>
      <c r="H663" s="4"/>
    </row>
    <row r="664" customFormat="false" ht="15.75" hidden="false" customHeight="false" outlineLevel="0" collapsed="false">
      <c r="G664" s="4"/>
      <c r="H664" s="4"/>
    </row>
    <row r="665" customFormat="false" ht="15.75" hidden="false" customHeight="false" outlineLevel="0" collapsed="false">
      <c r="G665" s="4"/>
      <c r="H665" s="4"/>
    </row>
    <row r="666" customFormat="false" ht="15.75" hidden="false" customHeight="false" outlineLevel="0" collapsed="false">
      <c r="G666" s="4"/>
      <c r="H666" s="4"/>
    </row>
    <row r="667" customFormat="false" ht="15.75" hidden="false" customHeight="false" outlineLevel="0" collapsed="false">
      <c r="G667" s="4"/>
      <c r="H667" s="4"/>
    </row>
    <row r="668" customFormat="false" ht="15.75" hidden="false" customHeight="false" outlineLevel="0" collapsed="false">
      <c r="G668" s="4"/>
      <c r="H668" s="4"/>
    </row>
    <row r="669" customFormat="false" ht="15.75" hidden="false" customHeight="false" outlineLevel="0" collapsed="false">
      <c r="G669" s="4"/>
      <c r="H669" s="4"/>
    </row>
    <row r="670" customFormat="false" ht="15.75" hidden="false" customHeight="false" outlineLevel="0" collapsed="false">
      <c r="G670" s="4"/>
      <c r="H670" s="4"/>
    </row>
    <row r="671" customFormat="false" ht="15.75" hidden="false" customHeight="false" outlineLevel="0" collapsed="false">
      <c r="G671" s="4"/>
      <c r="H671" s="4"/>
    </row>
    <row r="672" customFormat="false" ht="15.75" hidden="false" customHeight="false" outlineLevel="0" collapsed="false">
      <c r="G672" s="4"/>
      <c r="H672" s="4"/>
    </row>
    <row r="673" customFormat="false" ht="15.75" hidden="false" customHeight="false" outlineLevel="0" collapsed="false">
      <c r="G673" s="4"/>
      <c r="H673" s="4"/>
    </row>
    <row r="674" customFormat="false" ht="15.75" hidden="false" customHeight="false" outlineLevel="0" collapsed="false">
      <c r="G674" s="4"/>
      <c r="H674" s="4"/>
    </row>
    <row r="675" customFormat="false" ht="15.75" hidden="false" customHeight="false" outlineLevel="0" collapsed="false">
      <c r="G675" s="4"/>
      <c r="H675" s="4"/>
    </row>
    <row r="676" customFormat="false" ht="15.75" hidden="false" customHeight="false" outlineLevel="0" collapsed="false">
      <c r="G676" s="4"/>
      <c r="H676" s="4"/>
    </row>
    <row r="677" customFormat="false" ht="15.75" hidden="false" customHeight="false" outlineLevel="0" collapsed="false">
      <c r="G677" s="4"/>
      <c r="H677" s="4"/>
    </row>
    <row r="678" customFormat="false" ht="15.75" hidden="false" customHeight="false" outlineLevel="0" collapsed="false">
      <c r="G678" s="4"/>
      <c r="H678" s="4"/>
    </row>
    <row r="679" customFormat="false" ht="15.75" hidden="false" customHeight="false" outlineLevel="0" collapsed="false">
      <c r="G679" s="4"/>
      <c r="H679" s="4"/>
    </row>
    <row r="680" customFormat="false" ht="15.75" hidden="false" customHeight="false" outlineLevel="0" collapsed="false">
      <c r="G680" s="4"/>
      <c r="H680" s="4"/>
    </row>
    <row r="681" customFormat="false" ht="15.75" hidden="false" customHeight="false" outlineLevel="0" collapsed="false">
      <c r="G681" s="4"/>
      <c r="H681" s="4"/>
    </row>
    <row r="682" customFormat="false" ht="15.75" hidden="false" customHeight="false" outlineLevel="0" collapsed="false">
      <c r="G682" s="4"/>
      <c r="H682" s="4"/>
    </row>
    <row r="683" customFormat="false" ht="15.75" hidden="false" customHeight="false" outlineLevel="0" collapsed="false">
      <c r="G683" s="4"/>
      <c r="H683" s="4"/>
    </row>
    <row r="684" customFormat="false" ht="15.75" hidden="false" customHeight="false" outlineLevel="0" collapsed="false">
      <c r="G684" s="4"/>
      <c r="H684" s="4"/>
    </row>
    <row r="685" customFormat="false" ht="15.75" hidden="false" customHeight="false" outlineLevel="0" collapsed="false">
      <c r="G685" s="4"/>
      <c r="H685" s="4"/>
    </row>
    <row r="686" customFormat="false" ht="15.75" hidden="false" customHeight="false" outlineLevel="0" collapsed="false">
      <c r="G686" s="4"/>
      <c r="H686" s="4"/>
    </row>
    <row r="687" customFormat="false" ht="15.75" hidden="false" customHeight="false" outlineLevel="0" collapsed="false">
      <c r="G687" s="4"/>
      <c r="H687" s="4"/>
    </row>
    <row r="688" customFormat="false" ht="15.75" hidden="false" customHeight="false" outlineLevel="0" collapsed="false">
      <c r="G688" s="4"/>
      <c r="H688" s="4"/>
    </row>
    <row r="689" customFormat="false" ht="15.75" hidden="false" customHeight="false" outlineLevel="0" collapsed="false">
      <c r="G689" s="4"/>
      <c r="H689" s="4"/>
    </row>
    <row r="690" customFormat="false" ht="15.75" hidden="false" customHeight="false" outlineLevel="0" collapsed="false">
      <c r="G690" s="4"/>
      <c r="H690" s="4"/>
    </row>
    <row r="691" customFormat="false" ht="15.75" hidden="false" customHeight="false" outlineLevel="0" collapsed="false">
      <c r="G691" s="4"/>
      <c r="H691" s="4"/>
    </row>
    <row r="692" customFormat="false" ht="15.75" hidden="false" customHeight="false" outlineLevel="0" collapsed="false">
      <c r="G692" s="4"/>
      <c r="H692" s="4"/>
    </row>
    <row r="693" customFormat="false" ht="15.75" hidden="false" customHeight="false" outlineLevel="0" collapsed="false">
      <c r="G693" s="4"/>
      <c r="H693" s="4"/>
    </row>
  </sheetData>
  <conditionalFormatting sqref="A2:A1000 C2:C12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53.63"/>
  </cols>
  <sheetData>
    <row r="1" customFormat="false" ht="15.75" hidden="false" customHeight="false" outlineLevel="0" collapsed="false">
      <c r="A1" s="5" t="s">
        <v>276</v>
      </c>
      <c r="B1" s="3" t="s">
        <v>277</v>
      </c>
      <c r="C1" s="3" t="s">
        <v>278</v>
      </c>
    </row>
    <row r="2" customFormat="false" ht="15.75" hidden="false" customHeight="false" outlineLevel="0" collapsed="false">
      <c r="A2" s="4"/>
      <c r="B2" s="3"/>
      <c r="C2" s="3"/>
    </row>
    <row r="3" customFormat="false" ht="15.75" hidden="false" customHeight="false" outlineLevel="0" collapsed="false">
      <c r="A3" s="3" t="s">
        <v>307</v>
      </c>
      <c r="B3" s="3" t="s">
        <v>1160</v>
      </c>
      <c r="C3" s="3" t="s">
        <v>1160</v>
      </c>
      <c r="D3" s="3" t="s">
        <v>1160</v>
      </c>
    </row>
    <row r="4" customFormat="false" ht="15.75" hidden="false" customHeight="false" outlineLevel="0" collapsed="false">
      <c r="A4" s="3" t="s">
        <v>307</v>
      </c>
      <c r="B4" s="3"/>
      <c r="C4" s="3" t="s">
        <v>1186</v>
      </c>
    </row>
    <row r="5" customFormat="false" ht="15.75" hidden="false" customHeight="false" outlineLevel="0" collapsed="false">
      <c r="A5" s="3" t="s">
        <v>305</v>
      </c>
      <c r="B5" s="3"/>
      <c r="C5" s="3" t="s">
        <v>1176</v>
      </c>
    </row>
    <row r="6" customFormat="false" ht="15.75" hidden="false" customHeight="false" outlineLevel="0" collapsed="false">
      <c r="A6" s="3" t="s">
        <v>1144</v>
      </c>
      <c r="B6" s="3" t="s">
        <v>1164</v>
      </c>
      <c r="C6" s="3" t="s">
        <v>1164</v>
      </c>
    </row>
    <row r="7" customFormat="false" ht="15.75" hidden="false" customHeight="false" outlineLevel="0" collapsed="false">
      <c r="A7" s="3" t="s">
        <v>690</v>
      </c>
      <c r="B7" s="3"/>
      <c r="C7" s="3" t="s">
        <v>1167</v>
      </c>
    </row>
    <row r="8" customFormat="false" ht="15.75" hidden="false" customHeight="false" outlineLevel="0" collapsed="false">
      <c r="A8" s="3" t="s">
        <v>690</v>
      </c>
      <c r="B8" s="3"/>
      <c r="C8" s="3" t="s">
        <v>1169</v>
      </c>
    </row>
    <row r="9" customFormat="false" ht="15.75" hidden="false" customHeight="false" outlineLevel="0" collapsed="false">
      <c r="A9" s="3" t="s">
        <v>690</v>
      </c>
      <c r="C9" s="3" t="s">
        <v>1172</v>
      </c>
    </row>
    <row r="10" customFormat="false" ht="15.75" hidden="false" customHeight="false" outlineLevel="0" collapsed="false">
      <c r="A10" s="4"/>
    </row>
    <row r="11" customFormat="false" ht="15.75" hidden="false" customHeight="false" outlineLevel="0" collapsed="false">
      <c r="A11" s="4"/>
    </row>
    <row r="12" customFormat="false" ht="15.75" hidden="false" customHeight="false" outlineLevel="0" collapsed="false">
      <c r="A12" s="4"/>
    </row>
    <row r="13" customFormat="false" ht="15.75" hidden="false" customHeight="false" outlineLevel="0" collapsed="false">
      <c r="A13" s="3" t="s">
        <v>1095</v>
      </c>
      <c r="B13" s="3" t="s">
        <v>1185</v>
      </c>
      <c r="C13" s="3" t="s">
        <v>1185</v>
      </c>
    </row>
    <row r="14" customFormat="false" ht="15.75" hidden="false" customHeight="false" outlineLevel="0" collapsed="false">
      <c r="A14" s="3"/>
      <c r="B14" s="3"/>
      <c r="C14" s="3"/>
      <c r="E14" s="3"/>
    </row>
    <row r="15" customFormat="false" ht="15.75" hidden="false" customHeight="false" outlineLevel="0" collapsed="false">
      <c r="A15" s="3"/>
      <c r="B15" s="3"/>
      <c r="C15" s="3"/>
      <c r="E15" s="3"/>
    </row>
    <row r="16" customFormat="false" ht="15.75" hidden="false" customHeight="false" outlineLevel="0" collapsed="false">
      <c r="A16" s="3" t="s">
        <v>1198</v>
      </c>
      <c r="B16" s="3" t="s">
        <v>1159</v>
      </c>
      <c r="C16" s="3" t="s">
        <v>1159</v>
      </c>
      <c r="E16" s="3" t="s">
        <v>1199</v>
      </c>
    </row>
    <row r="17" customFormat="false" ht="15.75" hidden="false" customHeight="false" outlineLevel="0" collapsed="false">
      <c r="A17" s="4"/>
      <c r="B17" s="3"/>
      <c r="C17" s="3"/>
    </row>
    <row r="18" customFormat="false" ht="15.75" hidden="false" customHeight="false" outlineLevel="0" collapsed="false">
      <c r="A18" s="4"/>
      <c r="B18" s="3"/>
      <c r="C18" s="3"/>
    </row>
    <row r="19" customFormat="false" ht="15.75" hidden="false" customHeight="false" outlineLevel="0" collapsed="false">
      <c r="A19" s="3" t="s">
        <v>1200</v>
      </c>
      <c r="B19" s="3" t="s">
        <v>1182</v>
      </c>
      <c r="C19" s="3" t="s">
        <v>1182</v>
      </c>
    </row>
    <row r="20" customFormat="false" ht="15.75" hidden="false" customHeight="false" outlineLevel="0" collapsed="false">
      <c r="A20" s="3" t="s">
        <v>1200</v>
      </c>
      <c r="B20" s="3"/>
      <c r="C20" s="3" t="s">
        <v>1170</v>
      </c>
    </row>
    <row r="21" customFormat="false" ht="15.75" hidden="false" customHeight="false" outlineLevel="0" collapsed="false">
      <c r="A21" s="3" t="s">
        <v>1200</v>
      </c>
      <c r="B21" s="3"/>
      <c r="C21" s="3" t="s">
        <v>1193</v>
      </c>
    </row>
    <row r="22" customFormat="false" ht="15.75" hidden="false" customHeight="false" outlineLevel="0" collapsed="false">
      <c r="A22" s="3" t="s">
        <v>1201</v>
      </c>
      <c r="B22" s="3"/>
      <c r="C22" s="3" t="s">
        <v>1165</v>
      </c>
    </row>
    <row r="23" customFormat="false" ht="15.75" hidden="false" customHeight="false" outlineLevel="0" collapsed="false">
      <c r="A23" s="4"/>
    </row>
    <row r="24" customFormat="false" ht="15.75" hidden="false" customHeight="false" outlineLevel="0" collapsed="false">
      <c r="A24" s="3" t="s">
        <v>1202</v>
      </c>
      <c r="B24" s="3" t="s">
        <v>1168</v>
      </c>
      <c r="C24" s="3"/>
    </row>
    <row r="25" customFormat="false" ht="15.75" hidden="false" customHeight="false" outlineLevel="0" collapsed="false">
      <c r="A25" s="3" t="s">
        <v>1202</v>
      </c>
      <c r="B25" s="3"/>
      <c r="C25" s="3" t="s">
        <v>1180</v>
      </c>
    </row>
    <row r="26" customFormat="false" ht="15.75" hidden="false" customHeight="false" outlineLevel="0" collapsed="false">
      <c r="A26" s="3" t="s">
        <v>1202</v>
      </c>
      <c r="B26" s="3" t="s">
        <v>1194</v>
      </c>
      <c r="C26" s="3" t="s">
        <v>1194</v>
      </c>
    </row>
    <row r="27" customFormat="false" ht="15.75" hidden="false" customHeight="false" outlineLevel="0" collapsed="false">
      <c r="A27" s="4"/>
      <c r="B27" s="3"/>
      <c r="C27" s="3"/>
    </row>
    <row r="28" customFormat="false" ht="15.75" hidden="false" customHeight="false" outlineLevel="0" collapsed="false">
      <c r="A28" s="4"/>
      <c r="B28" s="3"/>
      <c r="C28" s="3"/>
    </row>
    <row r="29" customFormat="false" ht="15.75" hidden="false" customHeight="false" outlineLevel="0" collapsed="false">
      <c r="A29" s="4"/>
    </row>
    <row r="30" customFormat="false" ht="15.75" hidden="false" customHeight="false" outlineLevel="0" collapsed="false">
      <c r="A30" s="4"/>
      <c r="B30" s="3"/>
      <c r="C30" s="3"/>
    </row>
    <row r="31" customFormat="false" ht="15.75" hidden="false" customHeight="false" outlineLevel="0" collapsed="false">
      <c r="A31" s="4"/>
      <c r="B31" s="3"/>
      <c r="C31" s="3"/>
    </row>
    <row r="32" customFormat="false" ht="15.75" hidden="false" customHeight="false" outlineLevel="0" collapsed="false">
      <c r="A32" s="3" t="s">
        <v>298</v>
      </c>
      <c r="B32" s="3" t="s">
        <v>1195</v>
      </c>
      <c r="C32" s="3" t="s">
        <v>1195</v>
      </c>
    </row>
    <row r="33" customFormat="false" ht="15.75" hidden="false" customHeight="false" outlineLevel="0" collapsed="false">
      <c r="A33" s="3" t="s">
        <v>297</v>
      </c>
      <c r="B33" s="3" t="s">
        <v>1184</v>
      </c>
      <c r="C33" s="3" t="s">
        <v>1181</v>
      </c>
    </row>
    <row r="34" customFormat="false" ht="15.75" hidden="false" customHeight="false" outlineLevel="0" collapsed="false">
      <c r="A34" s="3" t="s">
        <v>297</v>
      </c>
      <c r="B34" s="3"/>
      <c r="C34" s="3" t="s">
        <v>1178</v>
      </c>
    </row>
    <row r="35" customFormat="false" ht="15.75" hidden="false" customHeight="false" outlineLevel="0" collapsed="false">
      <c r="A35" s="3" t="s">
        <v>1203</v>
      </c>
      <c r="B35" s="3" t="s">
        <v>1158</v>
      </c>
      <c r="C35" s="3"/>
    </row>
    <row r="36" customFormat="false" ht="15.75" hidden="false" customHeight="false" outlineLevel="0" collapsed="false">
      <c r="A36" s="3" t="s">
        <v>1203</v>
      </c>
      <c r="B36" s="3"/>
      <c r="C36" s="3" t="s">
        <v>720</v>
      </c>
    </row>
    <row r="37" customFormat="false" ht="15.75" hidden="false" customHeight="false" outlineLevel="0" collapsed="false">
      <c r="A37" s="3" t="s">
        <v>1203</v>
      </c>
      <c r="B37" s="3" t="s">
        <v>1163</v>
      </c>
      <c r="C37" s="3"/>
    </row>
    <row r="38" customFormat="false" ht="15.75" hidden="false" customHeight="false" outlineLevel="0" collapsed="false">
      <c r="A38" s="3" t="s">
        <v>289</v>
      </c>
      <c r="B38" s="3" t="s">
        <v>858</v>
      </c>
      <c r="C38" s="3"/>
    </row>
    <row r="39" customFormat="false" ht="15.75" hidden="false" customHeight="false" outlineLevel="0" collapsed="false">
      <c r="A39" s="3" t="s">
        <v>289</v>
      </c>
      <c r="B39" s="3" t="s">
        <v>1173</v>
      </c>
      <c r="C39" s="3"/>
    </row>
    <row r="40" customFormat="false" ht="15.75" hidden="false" customHeight="false" outlineLevel="0" collapsed="false">
      <c r="A40" s="3" t="s">
        <v>289</v>
      </c>
      <c r="B40" s="3" t="s">
        <v>1175</v>
      </c>
      <c r="C40" s="3"/>
    </row>
    <row r="41" customFormat="false" ht="15.75" hidden="false" customHeight="false" outlineLevel="0" collapsed="false">
      <c r="A41" s="3" t="s">
        <v>289</v>
      </c>
      <c r="B41" s="3"/>
      <c r="C41" s="3" t="s">
        <v>1188</v>
      </c>
    </row>
    <row r="42" customFormat="false" ht="15.75" hidden="false" customHeight="false" outlineLevel="0" collapsed="false">
      <c r="A42" s="3" t="s">
        <v>289</v>
      </c>
      <c r="B42" s="3"/>
      <c r="C42" s="3" t="s">
        <v>1196</v>
      </c>
    </row>
    <row r="43" customFormat="false" ht="15.75" hidden="false" customHeight="false" outlineLevel="0" collapsed="false">
      <c r="A43" s="3" t="s">
        <v>292</v>
      </c>
      <c r="B43" s="3" t="s">
        <v>899</v>
      </c>
      <c r="C43" s="3"/>
    </row>
    <row r="44" customFormat="false" ht="15.75" hidden="false" customHeight="false" outlineLevel="0" collapsed="false">
      <c r="A44" s="3" t="s">
        <v>1204</v>
      </c>
      <c r="B44" s="3" t="s">
        <v>1171</v>
      </c>
      <c r="C44" s="3"/>
    </row>
    <row r="45" customFormat="false" ht="15.75" hidden="false" customHeight="false" outlineLevel="0" collapsed="false">
      <c r="A45" s="3" t="s">
        <v>1205</v>
      </c>
      <c r="B45" s="3" t="s">
        <v>1177</v>
      </c>
      <c r="C45" s="3"/>
    </row>
    <row r="46" customFormat="false" ht="15.75" hidden="false" customHeight="false" outlineLevel="0" collapsed="false">
      <c r="A46" s="3" t="s">
        <v>1205</v>
      </c>
      <c r="B46" s="3"/>
      <c r="C46" s="3" t="s">
        <v>1174</v>
      </c>
    </row>
    <row r="47" customFormat="false" ht="15.75" hidden="false" customHeight="false" outlineLevel="0" collapsed="false">
      <c r="A47" s="3" t="s">
        <v>1205</v>
      </c>
      <c r="B47" s="3"/>
      <c r="C47" s="3" t="s">
        <v>1183</v>
      </c>
    </row>
    <row r="48" customFormat="false" ht="15.75" hidden="false" customHeight="false" outlineLevel="0" collapsed="false">
      <c r="A48" s="3" t="s">
        <v>1206</v>
      </c>
      <c r="B48" s="3" t="s">
        <v>1161</v>
      </c>
      <c r="C48" s="3" t="s">
        <v>1162</v>
      </c>
    </row>
    <row r="49" customFormat="false" ht="15.75" hidden="false" customHeight="false" outlineLevel="0" collapsed="false">
      <c r="A49" s="4"/>
      <c r="B49" s="3"/>
      <c r="C49" s="3"/>
    </row>
    <row r="50" customFormat="false" ht="15.75" hidden="false" customHeight="false" outlineLevel="0" collapsed="false">
      <c r="A50" s="4"/>
      <c r="B50" s="3"/>
      <c r="C50" s="3"/>
    </row>
    <row r="51" customFormat="false" ht="15.75" hidden="false" customHeight="false" outlineLevel="0" collapsed="false">
      <c r="A51" s="4"/>
    </row>
    <row r="52" customFormat="false" ht="15.75" hidden="false" customHeight="false" outlineLevel="0" collapsed="false">
      <c r="A52" s="3" t="s">
        <v>1136</v>
      </c>
      <c r="B52" s="3" t="s">
        <v>1166</v>
      </c>
      <c r="C52" s="3"/>
    </row>
    <row r="53" customFormat="false" ht="15.75" hidden="false" customHeight="false" outlineLevel="0" collapsed="false">
      <c r="A53" s="3" t="s">
        <v>688</v>
      </c>
      <c r="B53" s="3" t="s">
        <v>1179</v>
      </c>
      <c r="C53" s="3"/>
    </row>
    <row r="54" customFormat="false" ht="15.75" hidden="false" customHeight="false" outlineLevel="0" collapsed="false">
      <c r="A54" s="3" t="s">
        <v>306</v>
      </c>
      <c r="B54" s="3"/>
      <c r="C54" s="3" t="s">
        <v>1190</v>
      </c>
    </row>
    <row r="55" customFormat="false" ht="15.75" hidden="false" customHeight="false" outlineLevel="0" collapsed="false">
      <c r="A55" s="3" t="s">
        <v>306</v>
      </c>
      <c r="B55" s="3"/>
      <c r="C55" s="3" t="s">
        <v>1197</v>
      </c>
    </row>
    <row r="56" customFormat="false" ht="15.75" hidden="false" customHeight="false" outlineLevel="0" collapsed="false">
      <c r="A56" s="4"/>
    </row>
    <row r="57" customFormat="false" ht="15.75" hidden="false" customHeight="false" outlineLevel="0" collapsed="false">
      <c r="A57" s="3"/>
    </row>
    <row r="58" customFormat="false" ht="15.75" hidden="false" customHeight="false" outlineLevel="0" collapsed="false">
      <c r="A58" s="3" t="s">
        <v>710</v>
      </c>
      <c r="B58" s="3" t="s">
        <v>1187</v>
      </c>
    </row>
    <row r="59" customFormat="false" ht="15.75" hidden="false" customHeight="false" outlineLevel="0" collapsed="false">
      <c r="A59" s="3" t="s">
        <v>710</v>
      </c>
      <c r="B59" s="3" t="s">
        <v>1189</v>
      </c>
    </row>
    <row r="60" customFormat="false" ht="15.75" hidden="false" customHeight="false" outlineLevel="0" collapsed="false">
      <c r="A60" s="3" t="s">
        <v>710</v>
      </c>
      <c r="B60" s="3" t="s">
        <v>1191</v>
      </c>
    </row>
    <row r="61" customFormat="false" ht="15.75" hidden="false" customHeight="false" outlineLevel="0" collapsed="false">
      <c r="A61" s="3" t="s">
        <v>710</v>
      </c>
      <c r="B61" s="3" t="s">
        <v>1192</v>
      </c>
      <c r="C61" s="3"/>
    </row>
    <row r="62" customFormat="false" ht="15.75" hidden="false" customHeight="false" outlineLevel="0" collapsed="false">
      <c r="A62" s="6"/>
    </row>
    <row r="63" customFormat="false" ht="15.75" hidden="false" customHeight="false" outlineLevel="0" collapsed="false">
      <c r="A63" s="3"/>
    </row>
    <row r="64" customFormat="false" ht="15.75" hidden="false" customHeight="false" outlineLevel="0" collapsed="false">
      <c r="A64" s="4"/>
      <c r="B64" s="3"/>
      <c r="C64" s="3"/>
    </row>
    <row r="65" customFormat="false" ht="15.75" hidden="false" customHeight="false" outlineLevel="0" collapsed="false">
      <c r="A65" s="4"/>
      <c r="B65" s="3"/>
      <c r="C65" s="3"/>
    </row>
    <row r="66" customFormat="false" ht="15.75" hidden="false" customHeight="false" outlineLevel="0" collapsed="false">
      <c r="A66" s="4"/>
      <c r="B66" s="3"/>
      <c r="C66" s="3"/>
    </row>
    <row r="67" customFormat="false" ht="15.75" hidden="false" customHeight="false" outlineLevel="0" collapsed="false">
      <c r="A67" s="4"/>
      <c r="B67" s="3"/>
      <c r="C67" s="3"/>
    </row>
    <row r="68" customFormat="false" ht="15.75" hidden="false" customHeight="false" outlineLevel="0" collapsed="false">
      <c r="A68" s="4"/>
      <c r="B68" s="3"/>
      <c r="C68" s="3"/>
    </row>
    <row r="69" customFormat="false" ht="15.75" hidden="false" customHeight="false" outlineLevel="0" collapsed="false">
      <c r="A69" s="4"/>
      <c r="B69" s="3"/>
      <c r="C69" s="3"/>
    </row>
    <row r="70" customFormat="false" ht="15.75" hidden="false" customHeight="false" outlineLevel="0" collapsed="false">
      <c r="A70" s="4"/>
      <c r="B70" s="3"/>
      <c r="C70" s="3"/>
    </row>
    <row r="71" customFormat="false" ht="15.75" hidden="false" customHeight="false" outlineLevel="0" collapsed="false">
      <c r="A71" s="4"/>
      <c r="B71" s="3"/>
      <c r="C71" s="3"/>
    </row>
    <row r="72" customFormat="false" ht="15.75" hidden="false" customHeight="false" outlineLevel="0" collapsed="false">
      <c r="A72" s="4"/>
      <c r="B72" s="3"/>
      <c r="C72" s="3"/>
    </row>
    <row r="73" customFormat="false" ht="15.75" hidden="false" customHeight="false" outlineLevel="0" collapsed="false">
      <c r="A73" s="4"/>
      <c r="B73" s="3"/>
      <c r="C73" s="3"/>
    </row>
    <row r="74" customFormat="false" ht="15.75" hidden="false" customHeight="false" outlineLevel="0" collapsed="false">
      <c r="A74" s="4"/>
      <c r="B74" s="3"/>
      <c r="C74" s="3"/>
    </row>
    <row r="75" customFormat="false" ht="15.75" hidden="false" customHeight="false" outlineLevel="0" collapsed="false">
      <c r="A75" s="4"/>
      <c r="B75" s="3"/>
      <c r="C75" s="3"/>
    </row>
    <row r="76" customFormat="false" ht="15.75" hidden="false" customHeight="false" outlineLevel="0" collapsed="false">
      <c r="A76" s="4"/>
      <c r="B76" s="3"/>
      <c r="C76" s="3"/>
    </row>
    <row r="77" customFormat="false" ht="15.75" hidden="false" customHeight="false" outlineLevel="0" collapsed="false">
      <c r="A77" s="4"/>
      <c r="B77" s="3"/>
      <c r="C77" s="3"/>
    </row>
    <row r="78" customFormat="false" ht="15.75" hidden="false" customHeight="false" outlineLevel="0" collapsed="false">
      <c r="A78" s="4"/>
      <c r="B78" s="3"/>
      <c r="C78" s="3"/>
    </row>
    <row r="79" customFormat="false" ht="15.75" hidden="false" customHeight="false" outlineLevel="0" collapsed="false">
      <c r="A79" s="4"/>
      <c r="B79" s="3"/>
      <c r="C79" s="3"/>
    </row>
    <row r="80" customFormat="false" ht="15.75" hidden="false" customHeight="false" outlineLevel="0" collapsed="false">
      <c r="A80" s="4"/>
      <c r="B80" s="3"/>
      <c r="C80" s="3"/>
    </row>
    <row r="81" customFormat="false" ht="15.75" hidden="false" customHeight="false" outlineLevel="0" collapsed="false">
      <c r="A81" s="4"/>
      <c r="B81" s="3"/>
      <c r="C81" s="3"/>
    </row>
    <row r="82" customFormat="false" ht="15.75" hidden="false" customHeight="false" outlineLevel="0" collapsed="false">
      <c r="A82" s="4"/>
      <c r="B82" s="3"/>
      <c r="C82" s="3"/>
    </row>
    <row r="83" customFormat="false" ht="15.75" hidden="false" customHeight="false" outlineLevel="0" collapsed="false">
      <c r="A83" s="4"/>
      <c r="B83" s="3"/>
      <c r="C83" s="3"/>
    </row>
    <row r="84" customFormat="false" ht="15.75" hidden="false" customHeight="false" outlineLevel="0" collapsed="false">
      <c r="A84" s="4"/>
      <c r="B84" s="3"/>
      <c r="C84" s="3"/>
    </row>
    <row r="85" customFormat="false" ht="15.75" hidden="false" customHeight="false" outlineLevel="0" collapsed="false">
      <c r="A85" s="4"/>
      <c r="B85" s="3"/>
      <c r="C85" s="3"/>
    </row>
    <row r="86" customFormat="false" ht="15.75" hidden="false" customHeight="false" outlineLevel="0" collapsed="false">
      <c r="A86" s="4"/>
      <c r="B86" s="3"/>
      <c r="C86" s="3"/>
    </row>
    <row r="87" customFormat="false" ht="15.75" hidden="false" customHeight="false" outlineLevel="0" collapsed="false">
      <c r="A87" s="4"/>
      <c r="B87" s="3"/>
      <c r="C87" s="3"/>
    </row>
    <row r="88" customFormat="false" ht="15.75" hidden="false" customHeight="false" outlineLevel="0" collapsed="false">
      <c r="A88" s="4"/>
      <c r="B88" s="3"/>
      <c r="C88" s="3"/>
    </row>
    <row r="89" customFormat="false" ht="15.75" hidden="false" customHeight="false" outlineLevel="0" collapsed="false">
      <c r="A89" s="4"/>
      <c r="B89" s="3"/>
      <c r="C89" s="3"/>
    </row>
    <row r="90" customFormat="false" ht="15.75" hidden="false" customHeight="false" outlineLevel="0" collapsed="false">
      <c r="A90" s="4"/>
      <c r="B90" s="3"/>
      <c r="C90" s="3"/>
    </row>
    <row r="91" customFormat="false" ht="15.75" hidden="false" customHeight="false" outlineLevel="0" collapsed="false">
      <c r="A91" s="4"/>
      <c r="B91" s="3"/>
      <c r="C91" s="3"/>
    </row>
    <row r="92" customFormat="false" ht="15.75" hidden="false" customHeight="false" outlineLevel="0" collapsed="false">
      <c r="A92" s="4"/>
      <c r="B92" s="3"/>
      <c r="C92" s="3"/>
    </row>
    <row r="93" customFormat="false" ht="15.75" hidden="false" customHeight="false" outlineLevel="0" collapsed="false">
      <c r="A93" s="4"/>
      <c r="B93" s="3"/>
      <c r="C93" s="3"/>
    </row>
    <row r="94" customFormat="false" ht="15.75" hidden="false" customHeight="false" outlineLevel="0" collapsed="false">
      <c r="A94" s="4"/>
      <c r="B94" s="3"/>
      <c r="C94" s="3"/>
    </row>
    <row r="95" customFormat="false" ht="15.75" hidden="false" customHeight="false" outlineLevel="0" collapsed="false">
      <c r="A95" s="4"/>
      <c r="B95" s="3"/>
      <c r="C95" s="3"/>
    </row>
    <row r="96" customFormat="false" ht="15.75" hidden="false" customHeight="false" outlineLevel="0" collapsed="false">
      <c r="A96" s="4"/>
      <c r="B96" s="3"/>
      <c r="C96" s="3"/>
    </row>
    <row r="97" customFormat="false" ht="15.75" hidden="false" customHeight="false" outlineLevel="0" collapsed="false">
      <c r="A97" s="4"/>
      <c r="B97" s="3"/>
      <c r="C97" s="3"/>
    </row>
    <row r="98" customFormat="false" ht="15.75" hidden="false" customHeight="false" outlineLevel="0" collapsed="false">
      <c r="A98" s="4"/>
      <c r="B98" s="3"/>
      <c r="C98" s="3"/>
    </row>
    <row r="99" customFormat="false" ht="15.75" hidden="false" customHeight="false" outlineLevel="0" collapsed="false">
      <c r="A99" s="4"/>
      <c r="B99" s="3"/>
      <c r="C99" s="3"/>
    </row>
    <row r="100" customFormat="false" ht="15.75" hidden="false" customHeight="false" outlineLevel="0" collapsed="false">
      <c r="A100" s="4"/>
      <c r="B100" s="3"/>
      <c r="C100" s="3"/>
    </row>
    <row r="101" customFormat="false" ht="15.75" hidden="false" customHeight="false" outlineLevel="0" collapsed="false">
      <c r="A101" s="4"/>
      <c r="B101" s="3"/>
      <c r="C101" s="3"/>
    </row>
    <row r="102" customFormat="false" ht="15.75" hidden="false" customHeight="false" outlineLevel="0" collapsed="false">
      <c r="A102" s="4"/>
      <c r="B102" s="3"/>
      <c r="C102" s="3"/>
    </row>
    <row r="103" customFormat="false" ht="15.75" hidden="false" customHeight="false" outlineLevel="0" collapsed="false">
      <c r="A103" s="4"/>
      <c r="B103" s="3"/>
      <c r="C103" s="3"/>
    </row>
    <row r="104" customFormat="false" ht="15.75" hidden="false" customHeight="false" outlineLevel="0" collapsed="false">
      <c r="A104" s="4"/>
      <c r="B104" s="3"/>
      <c r="C104" s="3"/>
    </row>
    <row r="105" customFormat="false" ht="15.75" hidden="false" customHeight="false" outlineLevel="0" collapsed="false">
      <c r="A105" s="4"/>
      <c r="B105" s="3"/>
      <c r="C105" s="3"/>
    </row>
    <row r="106" customFormat="false" ht="15.75" hidden="false" customHeight="false" outlineLevel="0" collapsed="false">
      <c r="A106" s="4"/>
    </row>
    <row r="107" customFormat="false" ht="15.75" hidden="false" customHeight="false" outlineLevel="0" collapsed="false">
      <c r="A107" s="4"/>
    </row>
    <row r="108" customFormat="false" ht="15.75" hidden="false" customHeight="false" outlineLevel="0" collapsed="false">
      <c r="A108" s="4"/>
    </row>
    <row r="109" customFormat="false" ht="15.75" hidden="false" customHeight="false" outlineLevel="0" collapsed="false">
      <c r="A109" s="4"/>
      <c r="B109" s="3"/>
      <c r="C109" s="3"/>
    </row>
    <row r="110" customFormat="false" ht="15.75" hidden="false" customHeight="false" outlineLevel="0" collapsed="false">
      <c r="A110" s="4"/>
    </row>
    <row r="111" customFormat="false" ht="15.75" hidden="false" customHeight="false" outlineLevel="0" collapsed="false">
      <c r="A111" s="4"/>
    </row>
    <row r="112" customFormat="false" ht="15.75" hidden="false" customHeight="false" outlineLevel="0" collapsed="false">
      <c r="A112" s="4"/>
    </row>
    <row r="113" customFormat="false" ht="15.75" hidden="false" customHeight="false" outlineLevel="0" collapsed="false">
      <c r="A113" s="4"/>
    </row>
    <row r="114" customFormat="false" ht="15.75" hidden="false" customHeight="false" outlineLevel="0" collapsed="false">
      <c r="A114" s="4"/>
    </row>
    <row r="115" customFormat="false" ht="15.75" hidden="false" customHeight="false" outlineLevel="0" collapsed="false">
      <c r="A115" s="4"/>
    </row>
    <row r="116" customFormat="false" ht="15.75" hidden="false" customHeight="false" outlineLevel="0" collapsed="false">
      <c r="A116" s="4"/>
      <c r="C116" s="3"/>
    </row>
    <row r="117" customFormat="false" ht="15.75" hidden="false" customHeight="false" outlineLevel="0" collapsed="false">
      <c r="A117" s="4"/>
      <c r="C117" s="3"/>
    </row>
    <row r="118" customFormat="false" ht="15.75" hidden="false" customHeight="false" outlineLevel="0" collapsed="false">
      <c r="A118" s="4"/>
    </row>
    <row r="119" customFormat="false" ht="15.75" hidden="false" customHeight="false" outlineLevel="0" collapsed="false">
      <c r="A119" s="4"/>
    </row>
    <row r="120" customFormat="false" ht="15.75" hidden="false" customHeight="false" outlineLevel="0" collapsed="false">
      <c r="A120" s="4"/>
    </row>
    <row r="121" customFormat="false" ht="15.75" hidden="false" customHeight="false" outlineLevel="0" collapsed="false">
      <c r="A121" s="4"/>
    </row>
    <row r="122" customFormat="false" ht="15.75" hidden="false" customHeight="false" outlineLevel="0" collapsed="false">
      <c r="A122" s="4"/>
    </row>
    <row r="123" customFormat="false" ht="15.75" hidden="false" customHeight="false" outlineLevel="0" collapsed="false">
      <c r="A123" s="4"/>
    </row>
    <row r="124" customFormat="false" ht="15.75" hidden="false" customHeight="false" outlineLevel="0" collapsed="false">
      <c r="A124" s="4"/>
    </row>
    <row r="125" customFormat="false" ht="15.75" hidden="false" customHeight="false" outlineLevel="0" collapsed="false">
      <c r="A125" s="4"/>
      <c r="C125" s="3"/>
    </row>
    <row r="126" customFormat="false" ht="15.75" hidden="false" customHeight="false" outlineLevel="0" collapsed="false">
      <c r="A126" s="4"/>
      <c r="C126" s="3"/>
    </row>
    <row r="127" customFormat="false" ht="15.75" hidden="false" customHeight="false" outlineLevel="0" collapsed="false">
      <c r="A127" s="4"/>
      <c r="C127" s="3"/>
    </row>
    <row r="128" customFormat="false" ht="15.75" hidden="false" customHeight="false" outlineLevel="0" collapsed="false">
      <c r="A128" s="4"/>
      <c r="C128" s="3"/>
    </row>
    <row r="129" customFormat="false" ht="15.75" hidden="false" customHeight="false" outlineLevel="0" collapsed="false">
      <c r="A129" s="4"/>
      <c r="C129" s="3"/>
    </row>
    <row r="130" customFormat="false" ht="15.75" hidden="false" customHeight="false" outlineLevel="0" collapsed="false">
      <c r="A130" s="4"/>
      <c r="C130" s="3"/>
    </row>
    <row r="131" customFormat="false" ht="15.75" hidden="false" customHeight="false" outlineLevel="0" collapsed="false">
      <c r="A131" s="4"/>
    </row>
    <row r="132" customFormat="false" ht="15.75" hidden="false" customHeight="false" outlineLevel="0" collapsed="false">
      <c r="A132" s="4"/>
      <c r="B132" s="3"/>
    </row>
    <row r="133" customFormat="false" ht="15.75" hidden="false" customHeight="false" outlineLevel="0" collapsed="false">
      <c r="A133" s="4"/>
    </row>
    <row r="134" customFormat="false" ht="15.75" hidden="false" customHeight="false" outlineLevel="0" collapsed="false">
      <c r="A134" s="4"/>
      <c r="B134" s="3"/>
    </row>
    <row r="135" customFormat="false" ht="15.75" hidden="false" customHeight="false" outlineLevel="0" collapsed="false">
      <c r="A135" s="4"/>
      <c r="B135" s="3"/>
    </row>
    <row r="136" customFormat="false" ht="15.75" hidden="false" customHeight="false" outlineLevel="0" collapsed="false">
      <c r="A136" s="4"/>
      <c r="C136" s="3"/>
    </row>
    <row r="137" customFormat="false" ht="15.75" hidden="false" customHeight="false" outlineLevel="0" collapsed="false">
      <c r="A137" s="4"/>
      <c r="C137" s="3"/>
    </row>
    <row r="138" customFormat="false" ht="15.75" hidden="false" customHeight="false" outlineLevel="0" collapsed="false">
      <c r="A138" s="4"/>
      <c r="C138" s="3"/>
    </row>
    <row r="139" customFormat="false" ht="15.75" hidden="false" customHeight="false" outlineLevel="0" collapsed="false">
      <c r="A139" s="4"/>
      <c r="C139" s="3"/>
    </row>
    <row r="140" customFormat="false" ht="15.75" hidden="false" customHeight="false" outlineLevel="0" collapsed="false">
      <c r="A140" s="4"/>
      <c r="C140" s="3"/>
    </row>
    <row r="141" customFormat="false" ht="15.75" hidden="false" customHeight="false" outlineLevel="0" collapsed="false">
      <c r="A141" s="4"/>
      <c r="C141" s="3"/>
    </row>
    <row r="142" customFormat="false" ht="15.75" hidden="false" customHeight="false" outlineLevel="0" collapsed="false">
      <c r="A142" s="4"/>
      <c r="C142" s="3"/>
    </row>
    <row r="143" customFormat="false" ht="15.75" hidden="false" customHeight="false" outlineLevel="0" collapsed="false">
      <c r="A143" s="4"/>
    </row>
    <row r="144" customFormat="false" ht="15.75" hidden="false" customHeight="false" outlineLevel="0" collapsed="false">
      <c r="A144" s="4"/>
      <c r="C144" s="3"/>
    </row>
    <row r="145" customFormat="false" ht="15.75" hidden="false" customHeight="false" outlineLevel="0" collapsed="false">
      <c r="A145" s="4"/>
      <c r="C145" s="3"/>
    </row>
    <row r="146" customFormat="false" ht="15.75" hidden="false" customHeight="false" outlineLevel="0" collapsed="false">
      <c r="A146" s="4"/>
    </row>
    <row r="147" customFormat="false" ht="15.75" hidden="false" customHeight="false" outlineLevel="0" collapsed="false">
      <c r="A147" s="4"/>
    </row>
    <row r="148" customFormat="false" ht="15.75" hidden="false" customHeight="false" outlineLevel="0" collapsed="false">
      <c r="A148" s="4"/>
      <c r="C148" s="3"/>
    </row>
    <row r="149" customFormat="false" ht="15.75" hidden="false" customHeight="false" outlineLevel="0" collapsed="false">
      <c r="A149" s="4"/>
      <c r="C149" s="3"/>
    </row>
    <row r="150" customFormat="false" ht="15.75" hidden="false" customHeight="false" outlineLevel="0" collapsed="false">
      <c r="A150" s="4"/>
      <c r="C150" s="3"/>
    </row>
    <row r="151" customFormat="false" ht="15.75" hidden="false" customHeight="false" outlineLevel="0" collapsed="false">
      <c r="A151" s="4"/>
      <c r="B151" s="3"/>
      <c r="C151" s="3"/>
    </row>
    <row r="152" customFormat="false" ht="15.75" hidden="false" customHeight="false" outlineLevel="0" collapsed="false">
      <c r="A152" s="4"/>
      <c r="B152" s="3"/>
      <c r="C152" s="3"/>
    </row>
    <row r="153" customFormat="false" ht="15.75" hidden="false" customHeight="false" outlineLevel="0" collapsed="false">
      <c r="A153" s="4"/>
    </row>
    <row r="154" customFormat="false" ht="15.75" hidden="false" customHeight="false" outlineLevel="0" collapsed="false">
      <c r="A154" s="4"/>
    </row>
    <row r="155" customFormat="false" ht="15.75" hidden="false" customHeight="false" outlineLevel="0" collapsed="false">
      <c r="A155" s="4"/>
    </row>
    <row r="156" customFormat="false" ht="15.75" hidden="false" customHeight="false" outlineLevel="0" collapsed="false">
      <c r="A156" s="4"/>
    </row>
    <row r="157" customFormat="false" ht="15.75" hidden="false" customHeight="false" outlineLevel="0" collapsed="false">
      <c r="A157" s="4"/>
    </row>
    <row r="158" customFormat="false" ht="15.75" hidden="false" customHeight="false" outlineLevel="0" collapsed="false">
      <c r="A158" s="4"/>
    </row>
    <row r="159" customFormat="false" ht="15.75" hidden="false" customHeight="false" outlineLevel="0" collapsed="false">
      <c r="A159" s="4"/>
    </row>
    <row r="160" customFormat="false" ht="15.75" hidden="false" customHeight="false" outlineLevel="0" collapsed="false">
      <c r="A160" s="4"/>
    </row>
    <row r="161" customFormat="false" ht="15.75" hidden="false" customHeight="false" outlineLevel="0" collapsed="false">
      <c r="A161" s="4"/>
    </row>
    <row r="162" customFormat="false" ht="15.75" hidden="false" customHeight="false" outlineLevel="0" collapsed="false">
      <c r="A162" s="4"/>
    </row>
    <row r="163" customFormat="false" ht="15.75" hidden="false" customHeight="false" outlineLevel="0" collapsed="false">
      <c r="A163" s="4"/>
    </row>
    <row r="164" customFormat="false" ht="15.75" hidden="false" customHeight="false" outlineLevel="0" collapsed="false">
      <c r="A164" s="4"/>
    </row>
    <row r="165" customFormat="false" ht="15.75" hidden="false" customHeight="false" outlineLevel="0" collapsed="false">
      <c r="A165" s="4"/>
    </row>
    <row r="166" customFormat="false" ht="15.75" hidden="false" customHeight="false" outlineLevel="0" collapsed="false">
      <c r="A166" s="4"/>
    </row>
    <row r="167" customFormat="false" ht="15.75" hidden="false" customHeight="false" outlineLevel="0" collapsed="false">
      <c r="A167" s="4"/>
    </row>
    <row r="168" customFormat="false" ht="15.75" hidden="false" customHeight="false" outlineLevel="0" collapsed="false">
      <c r="A168" s="4"/>
    </row>
    <row r="169" customFormat="false" ht="15.75" hidden="false" customHeight="false" outlineLevel="0" collapsed="false">
      <c r="A169" s="4"/>
      <c r="B169" s="3"/>
    </row>
    <row r="170" customFormat="false" ht="15.75" hidden="false" customHeight="false" outlineLevel="0" collapsed="false">
      <c r="A170" s="4"/>
    </row>
    <row r="171" customFormat="false" ht="15.75" hidden="false" customHeight="false" outlineLevel="0" collapsed="false">
      <c r="A171" s="4"/>
    </row>
    <row r="172" customFormat="false" ht="15.75" hidden="false" customHeight="false" outlineLevel="0" collapsed="false">
      <c r="A172" s="4"/>
      <c r="B172" s="3"/>
    </row>
    <row r="173" customFormat="false" ht="15.75" hidden="false" customHeight="false" outlineLevel="0" collapsed="false">
      <c r="A173" s="4"/>
      <c r="B173" s="3"/>
      <c r="C173" s="3"/>
    </row>
    <row r="174" customFormat="false" ht="15.75" hidden="false" customHeight="false" outlineLevel="0" collapsed="false">
      <c r="A174" s="4"/>
      <c r="B174" s="3"/>
      <c r="C174" s="3"/>
    </row>
    <row r="175" customFormat="false" ht="15.75" hidden="false" customHeight="false" outlineLevel="0" collapsed="false">
      <c r="A175" s="4"/>
      <c r="B175" s="3"/>
    </row>
    <row r="176" customFormat="false" ht="15.75" hidden="false" customHeight="false" outlineLevel="0" collapsed="false">
      <c r="A176" s="4"/>
      <c r="B176" s="3"/>
      <c r="C176" s="3"/>
    </row>
    <row r="177" customFormat="false" ht="15.75" hidden="false" customHeight="false" outlineLevel="0" collapsed="false">
      <c r="A177" s="4"/>
      <c r="B177" s="3"/>
      <c r="C177" s="3"/>
    </row>
    <row r="178" customFormat="false" ht="15.75" hidden="false" customHeight="false" outlineLevel="0" collapsed="false">
      <c r="A178" s="4"/>
      <c r="B178" s="3"/>
      <c r="C178" s="3"/>
    </row>
    <row r="179" customFormat="false" ht="15.75" hidden="false" customHeight="false" outlineLevel="0" collapsed="false">
      <c r="A179" s="4"/>
      <c r="B179" s="3"/>
      <c r="C179" s="3"/>
    </row>
    <row r="180" customFormat="false" ht="15.75" hidden="false" customHeight="false" outlineLevel="0" collapsed="false">
      <c r="A180" s="4"/>
      <c r="B180" s="3"/>
      <c r="C180" s="3"/>
    </row>
    <row r="181" customFormat="false" ht="15.75" hidden="false" customHeight="false" outlineLevel="0" collapsed="false">
      <c r="A181" s="4"/>
      <c r="B181" s="3"/>
    </row>
    <row r="182" customFormat="false" ht="15.75" hidden="false" customHeight="false" outlineLevel="0" collapsed="false">
      <c r="A182" s="3"/>
      <c r="B182" s="3"/>
    </row>
    <row r="183" customFormat="false" ht="15.75" hidden="false" customHeight="false" outlineLevel="0" collapsed="false">
      <c r="A183" s="3"/>
      <c r="B183" s="3"/>
    </row>
    <row r="184" customFormat="false" ht="15.75" hidden="false" customHeight="false" outlineLevel="0" collapsed="false">
      <c r="A184" s="4"/>
    </row>
    <row r="185" customFormat="false" ht="15.75" hidden="false" customHeight="false" outlineLevel="0" collapsed="false">
      <c r="A185" s="4"/>
      <c r="B185" s="3"/>
    </row>
    <row r="186" customFormat="false" ht="15.75" hidden="false" customHeight="false" outlineLevel="0" collapsed="false">
      <c r="A186" s="4"/>
      <c r="B186" s="3"/>
      <c r="C186" s="3"/>
    </row>
    <row r="187" customFormat="false" ht="15.75" hidden="false" customHeight="false" outlineLevel="0" collapsed="false">
      <c r="A187" s="4"/>
      <c r="B187" s="3"/>
      <c r="C187" s="3"/>
    </row>
    <row r="188" customFormat="false" ht="15.75" hidden="false" customHeight="false" outlineLevel="0" collapsed="false">
      <c r="A188" s="4"/>
    </row>
    <row r="189" customFormat="false" ht="15.75" hidden="false" customHeight="false" outlineLevel="0" collapsed="false">
      <c r="A189" s="4"/>
      <c r="B189" s="3"/>
    </row>
    <row r="190" customFormat="false" ht="15.75" hidden="false" customHeight="false" outlineLevel="0" collapsed="false">
      <c r="A190" s="4"/>
    </row>
    <row r="191" customFormat="false" ht="15.75" hidden="false" customHeight="false" outlineLevel="0" collapsed="false">
      <c r="A191" s="4"/>
    </row>
    <row r="192" customFormat="false" ht="15.75" hidden="false" customHeight="false" outlineLevel="0" collapsed="false">
      <c r="A192" s="4"/>
      <c r="C192" s="3"/>
    </row>
    <row r="193" customFormat="false" ht="15.75" hidden="false" customHeight="false" outlineLevel="0" collapsed="false">
      <c r="A193" s="4"/>
      <c r="B193" s="3"/>
    </row>
    <row r="194" customFormat="false" ht="15.75" hidden="false" customHeight="false" outlineLevel="0" collapsed="false">
      <c r="A194" s="3"/>
      <c r="C194" s="3"/>
    </row>
    <row r="195" customFormat="false" ht="15.75" hidden="false" customHeight="false" outlineLevel="0" collapsed="false">
      <c r="A195" s="3"/>
      <c r="B195" s="3"/>
      <c r="C195" s="3"/>
    </row>
    <row r="196" customFormat="false" ht="15.75" hidden="false" customHeight="false" outlineLevel="0" collapsed="false">
      <c r="A196" s="3"/>
      <c r="B196" s="3"/>
      <c r="C196" s="3"/>
    </row>
    <row r="197" customFormat="false" ht="15.75" hidden="false" customHeight="false" outlineLevel="0" collapsed="false">
      <c r="A197" s="3"/>
      <c r="B197" s="3"/>
      <c r="C197" s="3"/>
    </row>
    <row r="198" customFormat="false" ht="15.75" hidden="false" customHeight="false" outlineLevel="0" collapsed="false">
      <c r="A198" s="3"/>
      <c r="B198" s="3"/>
      <c r="C198" s="3"/>
    </row>
    <row r="199" customFormat="false" ht="15.75" hidden="false" customHeight="false" outlineLevel="0" collapsed="false">
      <c r="A199" s="3"/>
      <c r="B199" s="3"/>
      <c r="C199" s="3"/>
    </row>
    <row r="200" customFormat="false" ht="15.75" hidden="false" customHeight="false" outlineLevel="0" collapsed="false">
      <c r="A200" s="3"/>
      <c r="B200" s="3"/>
      <c r="C200" s="3"/>
    </row>
    <row r="201" customFormat="false" ht="15.75" hidden="false" customHeight="false" outlineLevel="0" collapsed="false">
      <c r="A201" s="3"/>
      <c r="B201" s="3"/>
      <c r="C201" s="3"/>
    </row>
    <row r="202" customFormat="false" ht="15.75" hidden="false" customHeight="false" outlineLevel="0" collapsed="false">
      <c r="A202" s="3"/>
      <c r="B202" s="3"/>
      <c r="C202" s="3"/>
    </row>
    <row r="203" customFormat="false" ht="15.75" hidden="false" customHeight="false" outlineLevel="0" collapsed="false">
      <c r="A203" s="3"/>
      <c r="B203" s="3"/>
      <c r="C203" s="3"/>
    </row>
    <row r="204" customFormat="false" ht="15.75" hidden="false" customHeight="false" outlineLevel="0" collapsed="false">
      <c r="A204" s="3"/>
      <c r="B204" s="3"/>
      <c r="C204" s="3"/>
    </row>
    <row r="205" customFormat="false" ht="15.75" hidden="false" customHeight="false" outlineLevel="0" collapsed="false">
      <c r="A205" s="3"/>
      <c r="B205" s="3"/>
      <c r="C205" s="3"/>
    </row>
    <row r="206" customFormat="false" ht="15.75" hidden="false" customHeight="false" outlineLevel="0" collapsed="false">
      <c r="A206" s="3"/>
      <c r="B206" s="3"/>
      <c r="C206" s="3"/>
    </row>
    <row r="207" customFormat="false" ht="15.75" hidden="false" customHeight="false" outlineLevel="0" collapsed="false">
      <c r="A207" s="4"/>
    </row>
    <row r="208" customFormat="false" ht="15.75" hidden="false" customHeight="false" outlineLevel="0" collapsed="false">
      <c r="A208" s="4"/>
    </row>
    <row r="209" customFormat="false" ht="15.75" hidden="false" customHeight="false" outlineLevel="0" collapsed="false">
      <c r="A209" s="4"/>
      <c r="B209" s="3"/>
    </row>
    <row r="210" customFormat="false" ht="15.75" hidden="false" customHeight="false" outlineLevel="0" collapsed="false">
      <c r="A210" s="4"/>
      <c r="B210" s="3"/>
    </row>
    <row r="211" customFormat="false" ht="15.75" hidden="false" customHeight="false" outlineLevel="0" collapsed="false">
      <c r="A211" s="4"/>
    </row>
    <row r="212" customFormat="false" ht="15.75" hidden="false" customHeight="false" outlineLevel="0" collapsed="false">
      <c r="A212" s="4"/>
      <c r="B212" s="3"/>
      <c r="C212" s="3"/>
    </row>
    <row r="213" customFormat="false" ht="15.75" hidden="false" customHeight="false" outlineLevel="0" collapsed="false">
      <c r="A213" s="4"/>
      <c r="B213" s="3"/>
      <c r="C213" s="3"/>
    </row>
    <row r="214" customFormat="false" ht="15.75" hidden="false" customHeight="false" outlineLevel="0" collapsed="false">
      <c r="A214" s="4"/>
    </row>
    <row r="215" customFormat="false" ht="15.75" hidden="false" customHeight="false" outlineLevel="0" collapsed="false">
      <c r="A215" s="4"/>
      <c r="C215" s="3"/>
    </row>
    <row r="216" customFormat="false" ht="15.75" hidden="false" customHeight="false" outlineLevel="0" collapsed="false">
      <c r="A216" s="4"/>
      <c r="B216" s="3"/>
      <c r="C216" s="3"/>
    </row>
    <row r="217" customFormat="false" ht="15.75" hidden="false" customHeight="false" outlineLevel="0" collapsed="false">
      <c r="A217" s="4"/>
      <c r="B217" s="3"/>
      <c r="C217" s="3"/>
    </row>
    <row r="218" customFormat="false" ht="15.75" hidden="false" customHeight="false" outlineLevel="0" collapsed="false">
      <c r="A218" s="4"/>
      <c r="B218" s="3"/>
      <c r="C218" s="3"/>
    </row>
    <row r="219" customFormat="false" ht="15.75" hidden="false" customHeight="false" outlineLevel="0" collapsed="false">
      <c r="A219" s="4"/>
      <c r="B219" s="3"/>
      <c r="C219" s="3"/>
    </row>
    <row r="220" customFormat="false" ht="15.75" hidden="false" customHeight="false" outlineLevel="0" collapsed="false">
      <c r="A220" s="4"/>
      <c r="B220" s="3"/>
      <c r="C220" s="3"/>
    </row>
    <row r="221" customFormat="false" ht="15.75" hidden="false" customHeight="false" outlineLevel="0" collapsed="false">
      <c r="A221" s="4"/>
      <c r="B221" s="3"/>
      <c r="C221" s="3"/>
    </row>
    <row r="222" customFormat="false" ht="15.75" hidden="false" customHeight="false" outlineLevel="0" collapsed="false">
      <c r="A222" s="4"/>
      <c r="B222" s="3"/>
      <c r="C222" s="3"/>
    </row>
    <row r="223" customFormat="false" ht="15.75" hidden="false" customHeight="false" outlineLevel="0" collapsed="false">
      <c r="A223" s="4"/>
    </row>
    <row r="224" customFormat="false" ht="15.75" hidden="false" customHeight="false" outlineLevel="0" collapsed="false">
      <c r="A224" s="4"/>
      <c r="B224" s="3"/>
      <c r="C224" s="3"/>
    </row>
    <row r="225" customFormat="false" ht="15.75" hidden="false" customHeight="false" outlineLevel="0" collapsed="false">
      <c r="A225" s="4"/>
      <c r="B225" s="3"/>
      <c r="C225" s="3"/>
    </row>
    <row r="226" customFormat="false" ht="15.75" hidden="false" customHeight="false" outlineLevel="0" collapsed="false">
      <c r="A226" s="4"/>
      <c r="B226" s="3"/>
      <c r="C226" s="3"/>
    </row>
    <row r="227" customFormat="false" ht="15.75" hidden="false" customHeight="false" outlineLevel="0" collapsed="false">
      <c r="A227" s="4"/>
      <c r="B227" s="3"/>
    </row>
    <row r="228" customFormat="false" ht="15.75" hidden="false" customHeight="false" outlineLevel="0" collapsed="false">
      <c r="A228" s="4"/>
      <c r="B228" s="3"/>
      <c r="C228" s="3"/>
    </row>
    <row r="229" customFormat="false" ht="15.75" hidden="false" customHeight="false" outlineLevel="0" collapsed="false">
      <c r="A229" s="4"/>
      <c r="B229" s="3"/>
      <c r="C229" s="3"/>
    </row>
    <row r="230" customFormat="false" ht="15.75" hidden="false" customHeight="false" outlineLevel="0" collapsed="false">
      <c r="A230" s="4"/>
      <c r="C230" s="3"/>
    </row>
    <row r="231" customFormat="false" ht="15.75" hidden="false" customHeight="false" outlineLevel="0" collapsed="false">
      <c r="A231" s="4"/>
      <c r="B231" s="3"/>
      <c r="C231" s="3"/>
    </row>
    <row r="232" customFormat="false" ht="15.75" hidden="false" customHeight="false" outlineLevel="0" collapsed="false">
      <c r="A232" s="4"/>
      <c r="B232" s="3"/>
      <c r="C232" s="3"/>
    </row>
    <row r="233" customFormat="false" ht="15.75" hidden="false" customHeight="false" outlineLevel="0" collapsed="false">
      <c r="A233" s="4"/>
      <c r="B233" s="3"/>
      <c r="C233" s="3"/>
    </row>
    <row r="234" customFormat="false" ht="15.75" hidden="false" customHeight="false" outlineLevel="0" collapsed="false">
      <c r="A234" s="4"/>
      <c r="B234" s="3"/>
      <c r="C234" s="3"/>
    </row>
    <row r="235" customFormat="false" ht="15.75" hidden="false" customHeight="false" outlineLevel="0" collapsed="false">
      <c r="A235" s="4"/>
      <c r="B235" s="3"/>
      <c r="C235" s="3"/>
    </row>
    <row r="236" customFormat="false" ht="15.75" hidden="false" customHeight="false" outlineLevel="0" collapsed="false">
      <c r="A236" s="4"/>
      <c r="B236" s="3"/>
      <c r="C236" s="3"/>
    </row>
    <row r="237" customFormat="false" ht="15.75" hidden="false" customHeight="false" outlineLevel="0" collapsed="false">
      <c r="A237" s="4"/>
      <c r="B237" s="3"/>
      <c r="C237" s="3"/>
    </row>
    <row r="238" customFormat="false" ht="15.75" hidden="false" customHeight="false" outlineLevel="0" collapsed="false">
      <c r="A238" s="4"/>
      <c r="B238" s="3"/>
      <c r="C238" s="3"/>
    </row>
    <row r="239" customFormat="false" ht="15.75" hidden="false" customHeight="false" outlineLevel="0" collapsed="false">
      <c r="A239" s="4"/>
      <c r="B239" s="3"/>
      <c r="C239" s="10"/>
    </row>
    <row r="240" customFormat="false" ht="15.75" hidden="false" customHeight="false" outlineLevel="0" collapsed="false">
      <c r="A240" s="4"/>
      <c r="B240" s="3"/>
      <c r="C240" s="3"/>
    </row>
    <row r="241" customFormat="false" ht="15.75" hidden="false" customHeight="false" outlineLevel="0" collapsed="false">
      <c r="A241" s="4"/>
      <c r="B241" s="3"/>
      <c r="C241" s="3"/>
    </row>
    <row r="242" customFormat="false" ht="15.75" hidden="false" customHeight="false" outlineLevel="0" collapsed="false">
      <c r="A242" s="4"/>
      <c r="B242" s="3"/>
      <c r="C242" s="3"/>
    </row>
    <row r="243" customFormat="false" ht="15.75" hidden="false" customHeight="false" outlineLevel="0" collapsed="false">
      <c r="A243" s="4"/>
      <c r="C243" s="3"/>
    </row>
    <row r="244" customFormat="false" ht="15.75" hidden="false" customHeight="false" outlineLevel="0" collapsed="false">
      <c r="A244" s="4"/>
      <c r="B244" s="3"/>
      <c r="C244" s="3"/>
    </row>
    <row r="245" customFormat="false" ht="15.75" hidden="false" customHeight="false" outlineLevel="0" collapsed="false">
      <c r="A245" s="4"/>
      <c r="B245" s="3"/>
      <c r="C245" s="3"/>
    </row>
    <row r="246" customFormat="false" ht="15.75" hidden="false" customHeight="false" outlineLevel="0" collapsed="false">
      <c r="A246" s="4"/>
      <c r="B246" s="3"/>
      <c r="C246" s="3"/>
    </row>
    <row r="247" customFormat="false" ht="15.75" hidden="false" customHeight="false" outlineLevel="0" collapsed="false">
      <c r="A247" s="4"/>
      <c r="B247" s="3"/>
      <c r="C247" s="3"/>
    </row>
    <row r="248" customFormat="false" ht="15.75" hidden="false" customHeight="false" outlineLevel="0" collapsed="false">
      <c r="A248" s="4"/>
      <c r="B248" s="3"/>
      <c r="C248" s="3"/>
    </row>
    <row r="249" customFormat="false" ht="15.75" hidden="false" customHeight="false" outlineLevel="0" collapsed="false">
      <c r="A249" s="4"/>
      <c r="B249" s="3"/>
      <c r="C249" s="3"/>
    </row>
    <row r="250" customFormat="false" ht="15.75" hidden="false" customHeight="false" outlineLevel="0" collapsed="false">
      <c r="A250" s="4"/>
      <c r="B250" s="3"/>
      <c r="C250" s="3"/>
    </row>
    <row r="251" customFormat="false" ht="15.75" hidden="false" customHeight="false" outlineLevel="0" collapsed="false">
      <c r="A251" s="4"/>
      <c r="B251" s="3"/>
      <c r="C251" s="3"/>
    </row>
    <row r="252" customFormat="false" ht="15.75" hidden="false" customHeight="false" outlineLevel="0" collapsed="false">
      <c r="A252" s="4"/>
      <c r="B252" s="3"/>
      <c r="C252" s="3"/>
    </row>
    <row r="253" customFormat="false" ht="15.75" hidden="false" customHeight="false" outlineLevel="0" collapsed="false">
      <c r="A253" s="4"/>
      <c r="B253" s="3"/>
      <c r="C253" s="3"/>
    </row>
    <row r="254" customFormat="false" ht="15.75" hidden="false" customHeight="false" outlineLevel="0" collapsed="false">
      <c r="A254" s="10"/>
      <c r="C254" s="10"/>
    </row>
    <row r="255" customFormat="false" ht="15.75" hidden="false" customHeight="false" outlineLevel="0" collapsed="false">
      <c r="A255" s="4"/>
      <c r="B255" s="3"/>
      <c r="C255" s="3"/>
    </row>
    <row r="256" customFormat="false" ht="15.75" hidden="false" customHeight="false" outlineLevel="0" collapsed="false">
      <c r="A256" s="4"/>
      <c r="B256" s="3"/>
      <c r="C256" s="3"/>
    </row>
    <row r="257" customFormat="false" ht="15.75" hidden="false" customHeight="false" outlineLevel="0" collapsed="false">
      <c r="A257" s="4"/>
      <c r="B257" s="3"/>
      <c r="C257" s="3"/>
    </row>
    <row r="258" customFormat="false" ht="15.75" hidden="false" customHeight="false" outlineLevel="0" collapsed="false">
      <c r="A258" s="4"/>
      <c r="B258" s="3"/>
      <c r="C258" s="3"/>
    </row>
    <row r="259" customFormat="false" ht="15.75" hidden="false" customHeight="false" outlineLevel="0" collapsed="false">
      <c r="A259" s="4"/>
      <c r="B259" s="3"/>
      <c r="C259" s="3"/>
    </row>
    <row r="260" customFormat="false" ht="15.75" hidden="false" customHeight="false" outlineLevel="0" collapsed="false">
      <c r="A260" s="4"/>
      <c r="B260" s="3"/>
      <c r="C260" s="3"/>
    </row>
    <row r="261" customFormat="false" ht="15.75" hidden="false" customHeight="false" outlineLevel="0" collapsed="false">
      <c r="A261" s="4"/>
      <c r="B261" s="3"/>
    </row>
    <row r="262" customFormat="false" ht="15.75" hidden="false" customHeight="false" outlineLevel="0" collapsed="false">
      <c r="A262" s="4"/>
      <c r="B262" s="3"/>
      <c r="C262" s="3"/>
    </row>
    <row r="263" customFormat="false" ht="15.75" hidden="false" customHeight="false" outlineLevel="0" collapsed="false">
      <c r="A263" s="4"/>
      <c r="B263" s="3"/>
      <c r="C263" s="3"/>
    </row>
    <row r="264" customFormat="false" ht="15.75" hidden="false" customHeight="false" outlineLevel="0" collapsed="false">
      <c r="A264" s="4"/>
      <c r="B264" s="3"/>
      <c r="C264" s="3"/>
    </row>
    <row r="265" customFormat="false" ht="15.75" hidden="false" customHeight="false" outlineLevel="0" collapsed="false">
      <c r="A265" s="4"/>
      <c r="B265" s="3"/>
      <c r="C265" s="3"/>
    </row>
    <row r="266" customFormat="false" ht="15.75" hidden="false" customHeight="false" outlineLevel="0" collapsed="false">
      <c r="A266" s="4"/>
      <c r="B266" s="3"/>
      <c r="C266" s="3"/>
    </row>
    <row r="267" customFormat="false" ht="15.75" hidden="false" customHeight="false" outlineLevel="0" collapsed="false">
      <c r="A267" s="4"/>
      <c r="B267" s="3"/>
      <c r="C267" s="3"/>
    </row>
    <row r="268" customFormat="false" ht="15.75" hidden="false" customHeight="false" outlineLevel="0" collapsed="false">
      <c r="A268" s="4"/>
      <c r="B268" s="3"/>
      <c r="C268" s="3"/>
    </row>
    <row r="269" customFormat="false" ht="15.75" hidden="false" customHeight="false" outlineLevel="0" collapsed="false">
      <c r="A269" s="4"/>
      <c r="B269" s="3"/>
      <c r="C269" s="3"/>
    </row>
    <row r="270" customFormat="false" ht="15.75" hidden="false" customHeight="false" outlineLevel="0" collapsed="false">
      <c r="A270" s="4"/>
      <c r="B270" s="3"/>
      <c r="C270" s="3"/>
    </row>
    <row r="271" customFormat="false" ht="15.75" hidden="false" customHeight="false" outlineLevel="0" collapsed="false">
      <c r="A271" s="4"/>
      <c r="B271" s="3"/>
      <c r="C271" s="3"/>
    </row>
    <row r="272" customFormat="false" ht="15.75" hidden="false" customHeight="false" outlineLevel="0" collapsed="false">
      <c r="A272" s="4"/>
      <c r="B272" s="3"/>
      <c r="C272" s="3"/>
    </row>
    <row r="273" customFormat="false" ht="15.75" hidden="false" customHeight="false" outlineLevel="0" collapsed="false">
      <c r="A273" s="4"/>
      <c r="B273" s="3"/>
      <c r="C273" s="3"/>
    </row>
    <row r="274" customFormat="false" ht="15.75" hidden="false" customHeight="false" outlineLevel="0" collapsed="false">
      <c r="A274" s="4"/>
      <c r="B274" s="3"/>
      <c r="C274" s="3"/>
    </row>
    <row r="275" customFormat="false" ht="15.75" hidden="false" customHeight="false" outlineLevel="0" collapsed="false">
      <c r="A275" s="4"/>
      <c r="B275" s="3"/>
      <c r="C275" s="3"/>
    </row>
    <row r="276" customFormat="false" ht="15.75" hidden="false" customHeight="false" outlineLevel="0" collapsed="false">
      <c r="A276" s="4"/>
      <c r="B276" s="3"/>
      <c r="C276" s="3"/>
    </row>
    <row r="277" customFormat="false" ht="15.75" hidden="false" customHeight="false" outlineLevel="0" collapsed="false">
      <c r="A277" s="4"/>
      <c r="B277" s="3"/>
    </row>
    <row r="278" customFormat="false" ht="15.75" hidden="false" customHeight="false" outlineLevel="0" collapsed="false">
      <c r="A278" s="4"/>
      <c r="B278" s="3"/>
      <c r="C278" s="3"/>
    </row>
    <row r="279" customFormat="false" ht="15.75" hidden="false" customHeight="false" outlineLevel="0" collapsed="false">
      <c r="A279" s="4"/>
      <c r="B279" s="3"/>
    </row>
    <row r="280" customFormat="false" ht="15.75" hidden="false" customHeight="false" outlineLevel="0" collapsed="false">
      <c r="A280" s="4"/>
      <c r="B280" s="3"/>
    </row>
    <row r="281" customFormat="false" ht="15.75" hidden="false" customHeight="false" outlineLevel="0" collapsed="false">
      <c r="A281" s="4"/>
      <c r="B281" s="3"/>
      <c r="C281" s="3"/>
    </row>
    <row r="282" customFormat="false" ht="15.75" hidden="false" customHeight="false" outlineLevel="0" collapsed="false">
      <c r="A282" s="4"/>
      <c r="B282" s="3"/>
      <c r="C282" s="3"/>
    </row>
    <row r="283" customFormat="false" ht="15.75" hidden="false" customHeight="false" outlineLevel="0" collapsed="false">
      <c r="A283" s="4"/>
      <c r="B283" s="3"/>
      <c r="C283" s="3"/>
    </row>
    <row r="284" customFormat="false" ht="15.75" hidden="false" customHeight="false" outlineLevel="0" collapsed="false">
      <c r="A284" s="4"/>
      <c r="B284" s="3"/>
    </row>
    <row r="285" customFormat="false" ht="15.75" hidden="false" customHeight="false" outlineLevel="0" collapsed="false">
      <c r="A285" s="4"/>
      <c r="B285" s="3"/>
      <c r="C285" s="3"/>
    </row>
    <row r="286" customFormat="false" ht="15.75" hidden="false" customHeight="false" outlineLevel="0" collapsed="false">
      <c r="A286" s="4"/>
      <c r="B286" s="3"/>
    </row>
    <row r="287" customFormat="false" ht="15.75" hidden="false" customHeight="false" outlineLevel="0" collapsed="false">
      <c r="A287" s="4"/>
      <c r="B287" s="3"/>
      <c r="C287" s="3"/>
    </row>
    <row r="288" customFormat="false" ht="15.75" hidden="false" customHeight="false" outlineLevel="0" collapsed="false">
      <c r="A288" s="4"/>
      <c r="B288" s="3"/>
      <c r="C288" s="3"/>
    </row>
    <row r="289" customFormat="false" ht="15.75" hidden="false" customHeight="false" outlineLevel="0" collapsed="false">
      <c r="A289" s="4"/>
      <c r="B289" s="3"/>
      <c r="C289" s="3"/>
    </row>
    <row r="290" customFormat="false" ht="15.75" hidden="false" customHeight="false" outlineLevel="0" collapsed="false">
      <c r="A290" s="4"/>
      <c r="B290" s="3"/>
    </row>
    <row r="291" customFormat="false" ht="15.75" hidden="false" customHeight="false" outlineLevel="0" collapsed="false">
      <c r="A291" s="4"/>
      <c r="B291" s="3"/>
    </row>
    <row r="292" customFormat="false" ht="15.75" hidden="false" customHeight="false" outlineLevel="0" collapsed="false">
      <c r="A292" s="4"/>
      <c r="B292" s="3"/>
    </row>
    <row r="293" customFormat="false" ht="15.75" hidden="false" customHeight="false" outlineLevel="0" collapsed="false">
      <c r="A293" s="4"/>
      <c r="B293" s="3"/>
      <c r="C293" s="3"/>
    </row>
    <row r="294" customFormat="false" ht="15.75" hidden="false" customHeight="false" outlineLevel="0" collapsed="false">
      <c r="A294" s="4"/>
      <c r="B294" s="3"/>
    </row>
    <row r="295" customFormat="false" ht="15.75" hidden="false" customHeight="false" outlineLevel="0" collapsed="false">
      <c r="A295" s="4"/>
      <c r="B295" s="3"/>
      <c r="C295" s="3"/>
    </row>
    <row r="296" customFormat="false" ht="15.75" hidden="false" customHeight="false" outlineLevel="0" collapsed="false">
      <c r="A296" s="4"/>
      <c r="B296" s="3"/>
      <c r="C296" s="3"/>
    </row>
    <row r="297" customFormat="false" ht="15.75" hidden="false" customHeight="false" outlineLevel="0" collapsed="false">
      <c r="A297" s="4"/>
      <c r="B297" s="3"/>
      <c r="C297" s="3"/>
    </row>
    <row r="298" customFormat="false" ht="15.75" hidden="false" customHeight="false" outlineLevel="0" collapsed="false">
      <c r="A298" s="4"/>
      <c r="B298" s="3"/>
      <c r="C298" s="3"/>
    </row>
    <row r="299" customFormat="false" ht="15.75" hidden="false" customHeight="false" outlineLevel="0" collapsed="false">
      <c r="A299" s="4"/>
      <c r="B299" s="3"/>
      <c r="C299" s="3"/>
    </row>
    <row r="300" customFormat="false" ht="15.75" hidden="false" customHeight="false" outlineLevel="0" collapsed="false">
      <c r="A300" s="4"/>
      <c r="B300" s="3"/>
      <c r="C300" s="3"/>
    </row>
    <row r="301" customFormat="false" ht="15.75" hidden="false" customHeight="false" outlineLevel="0" collapsed="false">
      <c r="A301" s="4"/>
      <c r="B301" s="3"/>
      <c r="C301" s="3"/>
    </row>
    <row r="302" customFormat="false" ht="15.75" hidden="false" customHeight="false" outlineLevel="0" collapsed="false">
      <c r="A302" s="4"/>
      <c r="B302" s="3"/>
      <c r="C302" s="3"/>
    </row>
    <row r="303" customFormat="false" ht="15.75" hidden="false" customHeight="false" outlineLevel="0" collapsed="false">
      <c r="A303" s="4"/>
      <c r="B303" s="3"/>
      <c r="C303" s="3"/>
    </row>
    <row r="304" customFormat="false" ht="15.75" hidden="false" customHeight="false" outlineLevel="0" collapsed="false">
      <c r="A304" s="4"/>
      <c r="B304" s="3"/>
      <c r="C304" s="3"/>
    </row>
    <row r="305" customFormat="false" ht="15.75" hidden="false" customHeight="false" outlineLevel="0" collapsed="false">
      <c r="A305" s="4"/>
      <c r="B305" s="3"/>
      <c r="C305" s="3"/>
    </row>
    <row r="306" customFormat="false" ht="15.75" hidden="false" customHeight="false" outlineLevel="0" collapsed="false">
      <c r="A306" s="4"/>
      <c r="B306" s="3"/>
      <c r="C306" s="3"/>
    </row>
    <row r="307" customFormat="false" ht="15.75" hidden="false" customHeight="false" outlineLevel="0" collapsed="false">
      <c r="A307" s="4"/>
      <c r="B307" s="3"/>
      <c r="C307" s="3"/>
    </row>
    <row r="308" customFormat="false" ht="15.75" hidden="false" customHeight="false" outlineLevel="0" collapsed="false">
      <c r="A308" s="4"/>
      <c r="B308" s="3"/>
      <c r="C308" s="3"/>
    </row>
    <row r="309" customFormat="false" ht="15.75" hidden="false" customHeight="false" outlineLevel="0" collapsed="false">
      <c r="A309" s="4"/>
      <c r="B309" s="3"/>
      <c r="C309" s="3"/>
    </row>
    <row r="310" customFormat="false" ht="15.75" hidden="false" customHeight="false" outlineLevel="0" collapsed="false">
      <c r="A310" s="4"/>
      <c r="B310" s="3"/>
      <c r="C310" s="3"/>
    </row>
    <row r="311" customFormat="false" ht="15.75" hidden="false" customHeight="false" outlineLevel="0" collapsed="false">
      <c r="A311" s="4"/>
      <c r="B311" s="3"/>
      <c r="C311" s="3"/>
    </row>
    <row r="312" customFormat="false" ht="15.75" hidden="false" customHeight="false" outlineLevel="0" collapsed="false">
      <c r="A312" s="4"/>
      <c r="B312" s="3"/>
      <c r="C312" s="3"/>
    </row>
    <row r="313" customFormat="false" ht="15.75" hidden="false" customHeight="false" outlineLevel="0" collapsed="false">
      <c r="A313" s="4"/>
      <c r="B313" s="3"/>
      <c r="C313" s="3"/>
    </row>
    <row r="314" customFormat="false" ht="15.75" hidden="false" customHeight="false" outlineLevel="0" collapsed="false">
      <c r="A314" s="4"/>
      <c r="B314" s="3"/>
      <c r="C314" s="3"/>
    </row>
    <row r="315" customFormat="false" ht="15.75" hidden="false" customHeight="false" outlineLevel="0" collapsed="false">
      <c r="A315" s="4"/>
      <c r="B315" s="3"/>
      <c r="C315" s="3"/>
    </row>
    <row r="316" customFormat="false" ht="15.75" hidden="false" customHeight="false" outlineLevel="0" collapsed="false">
      <c r="A316" s="4"/>
      <c r="B316" s="3"/>
      <c r="C316" s="3"/>
    </row>
    <row r="317" customFormat="false" ht="15.75" hidden="false" customHeight="false" outlineLevel="0" collapsed="false">
      <c r="A317" s="4"/>
      <c r="B317" s="3"/>
      <c r="C317" s="3"/>
    </row>
    <row r="318" customFormat="false" ht="15.75" hidden="false" customHeight="false" outlineLevel="0" collapsed="false">
      <c r="A318" s="4"/>
      <c r="B318" s="3"/>
      <c r="C318" s="3"/>
    </row>
    <row r="319" customFormat="false" ht="15.75" hidden="false" customHeight="false" outlineLevel="0" collapsed="false">
      <c r="A319" s="4"/>
      <c r="B319" s="3"/>
      <c r="C319" s="3"/>
    </row>
    <row r="320" customFormat="false" ht="15.75" hidden="false" customHeight="false" outlineLevel="0" collapsed="false">
      <c r="A320" s="4"/>
      <c r="B320" s="3"/>
      <c r="C320" s="3"/>
    </row>
    <row r="321" customFormat="false" ht="15.75" hidden="false" customHeight="false" outlineLevel="0" collapsed="false">
      <c r="A321" s="4"/>
      <c r="B321" s="3"/>
      <c r="C321" s="3"/>
    </row>
    <row r="322" customFormat="false" ht="15.75" hidden="false" customHeight="false" outlineLevel="0" collapsed="false">
      <c r="A322" s="4"/>
      <c r="B322" s="3"/>
      <c r="C322" s="3"/>
    </row>
    <row r="323" customFormat="false" ht="15.75" hidden="false" customHeight="false" outlineLevel="0" collapsed="false">
      <c r="A323" s="4"/>
      <c r="B323" s="3"/>
      <c r="C323" s="3"/>
    </row>
    <row r="324" customFormat="false" ht="15.75" hidden="false" customHeight="false" outlineLevel="0" collapsed="false">
      <c r="A324" s="4"/>
      <c r="B324" s="3"/>
      <c r="C324" s="3"/>
    </row>
    <row r="325" customFormat="false" ht="15.75" hidden="false" customHeight="false" outlineLevel="0" collapsed="false">
      <c r="A325" s="4"/>
      <c r="B325" s="3"/>
      <c r="C325" s="3"/>
    </row>
    <row r="326" customFormat="false" ht="15.75" hidden="false" customHeight="false" outlineLevel="0" collapsed="false">
      <c r="A326" s="4"/>
      <c r="B326" s="3"/>
      <c r="C326" s="3"/>
    </row>
    <row r="327" customFormat="false" ht="15.75" hidden="false" customHeight="false" outlineLevel="0" collapsed="false">
      <c r="A327" s="4"/>
      <c r="B327" s="3"/>
      <c r="C327" s="3"/>
    </row>
    <row r="328" customFormat="false" ht="15.75" hidden="false" customHeight="false" outlineLevel="0" collapsed="false">
      <c r="A328" s="4"/>
      <c r="B328" s="3"/>
      <c r="C328" s="3"/>
    </row>
    <row r="329" customFormat="false" ht="15.75" hidden="false" customHeight="false" outlineLevel="0" collapsed="false">
      <c r="A329" s="4"/>
      <c r="B329" s="3"/>
      <c r="C329" s="3"/>
    </row>
    <row r="330" customFormat="false" ht="15.75" hidden="false" customHeight="false" outlineLevel="0" collapsed="false">
      <c r="A330" s="4"/>
      <c r="B330" s="3"/>
      <c r="C330" s="3"/>
    </row>
    <row r="331" customFormat="false" ht="15.75" hidden="false" customHeight="false" outlineLevel="0" collapsed="false">
      <c r="A331" s="4"/>
      <c r="B331" s="3"/>
      <c r="C331" s="3"/>
    </row>
    <row r="332" customFormat="false" ht="15.75" hidden="false" customHeight="false" outlineLevel="0" collapsed="false">
      <c r="A332" s="4"/>
      <c r="B332" s="3"/>
      <c r="C332" s="3"/>
    </row>
    <row r="333" customFormat="false" ht="15.75" hidden="false" customHeight="false" outlineLevel="0" collapsed="false">
      <c r="A333" s="4"/>
      <c r="B333" s="3"/>
      <c r="C333" s="3"/>
    </row>
    <row r="334" customFormat="false" ht="15.75" hidden="false" customHeight="false" outlineLevel="0" collapsed="false">
      <c r="A334" s="4"/>
      <c r="B334" s="3"/>
      <c r="C334" s="3"/>
    </row>
    <row r="335" customFormat="false" ht="15.75" hidden="false" customHeight="false" outlineLevel="0" collapsed="false">
      <c r="A335" s="4"/>
      <c r="B335" s="3"/>
      <c r="C335" s="3"/>
    </row>
    <row r="336" customFormat="false" ht="15.75" hidden="false" customHeight="false" outlineLevel="0" collapsed="false">
      <c r="A336" s="4"/>
      <c r="B336" s="3"/>
      <c r="C336" s="3"/>
    </row>
    <row r="337" customFormat="false" ht="15.75" hidden="false" customHeight="false" outlineLevel="0" collapsed="false">
      <c r="A337" s="4"/>
      <c r="B337" s="3"/>
      <c r="C337" s="3"/>
    </row>
    <row r="338" customFormat="false" ht="15.75" hidden="false" customHeight="false" outlineLevel="0" collapsed="false">
      <c r="A338" s="4"/>
      <c r="B338" s="3"/>
      <c r="C338" s="3"/>
    </row>
    <row r="339" customFormat="false" ht="15.75" hidden="false" customHeight="false" outlineLevel="0" collapsed="false">
      <c r="A339" s="4"/>
      <c r="B339" s="3"/>
      <c r="C339" s="3"/>
    </row>
    <row r="340" customFormat="false" ht="15.75" hidden="false" customHeight="false" outlineLevel="0" collapsed="false">
      <c r="A340" s="4"/>
      <c r="B340" s="3"/>
      <c r="C340" s="3"/>
    </row>
    <row r="341" customFormat="false" ht="15.75" hidden="false" customHeight="false" outlineLevel="0" collapsed="false">
      <c r="A341" s="4"/>
      <c r="B341" s="3"/>
      <c r="C341" s="3"/>
    </row>
    <row r="342" customFormat="false" ht="15.75" hidden="false" customHeight="false" outlineLevel="0" collapsed="false">
      <c r="A342" s="4"/>
      <c r="B342" s="3"/>
      <c r="C342" s="3"/>
    </row>
    <row r="343" customFormat="false" ht="15.75" hidden="false" customHeight="false" outlineLevel="0" collapsed="false">
      <c r="A343" s="4"/>
      <c r="B343" s="3"/>
      <c r="C343" s="3"/>
    </row>
    <row r="344" customFormat="false" ht="15.75" hidden="false" customHeight="false" outlineLevel="0" collapsed="false">
      <c r="A344" s="4"/>
      <c r="B344" s="3"/>
      <c r="C344" s="3"/>
    </row>
    <row r="345" customFormat="false" ht="15.75" hidden="false" customHeight="false" outlineLevel="0" collapsed="false">
      <c r="A345" s="4"/>
      <c r="B345" s="3"/>
      <c r="C345" s="3"/>
    </row>
    <row r="346" customFormat="false" ht="15.75" hidden="false" customHeight="false" outlineLevel="0" collapsed="false">
      <c r="A346" s="4"/>
      <c r="B346" s="3"/>
      <c r="C346" s="3"/>
    </row>
    <row r="347" customFormat="false" ht="15.75" hidden="false" customHeight="false" outlineLevel="0" collapsed="false">
      <c r="A347" s="4"/>
      <c r="B347" s="3"/>
      <c r="C347" s="3"/>
    </row>
    <row r="348" customFormat="false" ht="15.75" hidden="false" customHeight="false" outlineLevel="0" collapsed="false">
      <c r="A348" s="4"/>
      <c r="B348" s="3"/>
      <c r="C348" s="3"/>
    </row>
    <row r="349" customFormat="false" ht="15.75" hidden="false" customHeight="false" outlineLevel="0" collapsed="false">
      <c r="A349" s="4"/>
      <c r="B349" s="3"/>
      <c r="C349" s="3"/>
    </row>
    <row r="350" customFormat="false" ht="15.75" hidden="false" customHeight="false" outlineLevel="0" collapsed="false">
      <c r="A350" s="4"/>
      <c r="B350" s="3"/>
      <c r="C350" s="3"/>
    </row>
    <row r="351" customFormat="false" ht="15.75" hidden="false" customHeight="false" outlineLevel="0" collapsed="false">
      <c r="A351" s="4"/>
      <c r="B351" s="3"/>
      <c r="C351" s="3"/>
    </row>
    <row r="352" customFormat="false" ht="15.75" hidden="false" customHeight="false" outlineLevel="0" collapsed="false">
      <c r="A352" s="4"/>
      <c r="B352" s="3"/>
      <c r="C352" s="3"/>
    </row>
    <row r="353" customFormat="false" ht="15.75" hidden="false" customHeight="false" outlineLevel="0" collapsed="false">
      <c r="A353" s="4"/>
      <c r="B353" s="3"/>
      <c r="C353" s="3"/>
    </row>
    <row r="354" customFormat="false" ht="15.75" hidden="false" customHeight="false" outlineLevel="0" collapsed="false">
      <c r="A354" s="4"/>
      <c r="B354" s="3"/>
      <c r="C354" s="3"/>
    </row>
    <row r="355" customFormat="false" ht="15.75" hidden="false" customHeight="false" outlineLevel="0" collapsed="false">
      <c r="A355" s="4"/>
      <c r="B355" s="3"/>
      <c r="C355" s="3"/>
    </row>
    <row r="356" customFormat="false" ht="15.75" hidden="false" customHeight="false" outlineLevel="0" collapsed="false">
      <c r="A356" s="4"/>
      <c r="B356" s="3"/>
      <c r="C356" s="3"/>
    </row>
    <row r="357" customFormat="false" ht="15.75" hidden="false" customHeight="false" outlineLevel="0" collapsed="false">
      <c r="A357" s="4"/>
      <c r="B357" s="3"/>
      <c r="C357" s="3"/>
    </row>
    <row r="358" customFormat="false" ht="15.75" hidden="false" customHeight="false" outlineLevel="0" collapsed="false">
      <c r="A358" s="4"/>
      <c r="B358" s="3"/>
      <c r="C358" s="3"/>
    </row>
    <row r="359" customFormat="false" ht="15.75" hidden="false" customHeight="false" outlineLevel="0" collapsed="false">
      <c r="A359" s="4"/>
      <c r="B359" s="3"/>
      <c r="C359" s="3"/>
    </row>
    <row r="360" customFormat="false" ht="15.75" hidden="false" customHeight="false" outlineLevel="0" collapsed="false">
      <c r="A360" s="4"/>
      <c r="B360" s="3"/>
      <c r="C360" s="3"/>
    </row>
    <row r="361" customFormat="false" ht="15.75" hidden="false" customHeight="false" outlineLevel="0" collapsed="false">
      <c r="A361" s="4"/>
      <c r="B361" s="3"/>
      <c r="C361" s="3"/>
    </row>
    <row r="362" customFormat="false" ht="15.75" hidden="false" customHeight="false" outlineLevel="0" collapsed="false">
      <c r="A362" s="4"/>
      <c r="B362" s="3"/>
      <c r="C362" s="3"/>
    </row>
    <row r="363" customFormat="false" ht="15.75" hidden="false" customHeight="false" outlineLevel="0" collapsed="false">
      <c r="A363" s="4"/>
      <c r="B363" s="3"/>
      <c r="C363" s="3"/>
    </row>
    <row r="364" customFormat="false" ht="15.75" hidden="false" customHeight="false" outlineLevel="0" collapsed="false">
      <c r="A364" s="4"/>
      <c r="B364" s="3"/>
      <c r="C364" s="3"/>
    </row>
    <row r="365" customFormat="false" ht="15.75" hidden="false" customHeight="false" outlineLevel="0" collapsed="false">
      <c r="A365" s="4"/>
      <c r="B365" s="3"/>
      <c r="C365" s="3"/>
    </row>
    <row r="366" customFormat="false" ht="15.75" hidden="false" customHeight="false" outlineLevel="0" collapsed="false">
      <c r="A366" s="4"/>
      <c r="B366" s="3"/>
      <c r="C366" s="3"/>
    </row>
    <row r="367" customFormat="false" ht="15.75" hidden="false" customHeight="false" outlineLevel="0" collapsed="false">
      <c r="A367" s="4"/>
      <c r="B367" s="3"/>
      <c r="C367" s="3"/>
    </row>
    <row r="368" customFormat="false" ht="15.75" hidden="false" customHeight="false" outlineLevel="0" collapsed="false">
      <c r="A368" s="4"/>
      <c r="B368" s="3"/>
      <c r="C368" s="3"/>
    </row>
    <row r="369" customFormat="false" ht="15.75" hidden="false" customHeight="false" outlineLevel="0" collapsed="false">
      <c r="A369" s="4"/>
      <c r="B369" s="3"/>
      <c r="C369" s="3"/>
    </row>
    <row r="370" customFormat="false" ht="15.75" hidden="false" customHeight="false" outlineLevel="0" collapsed="false">
      <c r="A370" s="4"/>
      <c r="B370" s="3"/>
      <c r="C370" s="3"/>
    </row>
    <row r="371" customFormat="false" ht="15.75" hidden="false" customHeight="false" outlineLevel="0" collapsed="false">
      <c r="A371" s="4"/>
      <c r="B371" s="3"/>
      <c r="C371" s="3"/>
    </row>
    <row r="372" customFormat="false" ht="15.75" hidden="false" customHeight="false" outlineLevel="0" collapsed="false">
      <c r="A372" s="4"/>
      <c r="B372" s="3"/>
      <c r="C372" s="3"/>
    </row>
    <row r="373" customFormat="false" ht="15.75" hidden="false" customHeight="false" outlineLevel="0" collapsed="false">
      <c r="A373" s="4"/>
      <c r="B373" s="3"/>
      <c r="C373" s="3"/>
    </row>
    <row r="374" customFormat="false" ht="15.75" hidden="false" customHeight="false" outlineLevel="0" collapsed="false">
      <c r="A374" s="4"/>
      <c r="B374" s="3"/>
      <c r="C374" s="3"/>
    </row>
    <row r="375" customFormat="false" ht="15.75" hidden="false" customHeight="false" outlineLevel="0" collapsed="false">
      <c r="A375" s="4"/>
      <c r="B375" s="3"/>
      <c r="C375" s="3"/>
    </row>
    <row r="376" customFormat="false" ht="15.75" hidden="false" customHeight="false" outlineLevel="0" collapsed="false">
      <c r="A376" s="4"/>
      <c r="B376" s="3"/>
      <c r="C376" s="3"/>
    </row>
    <row r="377" customFormat="false" ht="15.75" hidden="false" customHeight="false" outlineLevel="0" collapsed="false">
      <c r="A377" s="4"/>
      <c r="B377" s="3"/>
      <c r="C377" s="3"/>
    </row>
    <row r="378" customFormat="false" ht="15.75" hidden="false" customHeight="false" outlineLevel="0" collapsed="false">
      <c r="A378" s="4"/>
      <c r="B378" s="3"/>
      <c r="C378" s="3"/>
    </row>
    <row r="379" customFormat="false" ht="15.75" hidden="false" customHeight="false" outlineLevel="0" collapsed="false">
      <c r="A379" s="4"/>
      <c r="B379" s="3"/>
      <c r="C379" s="3"/>
    </row>
    <row r="380" customFormat="false" ht="15.75" hidden="false" customHeight="false" outlineLevel="0" collapsed="false">
      <c r="A380" s="4"/>
      <c r="B380" s="3"/>
      <c r="C380" s="3"/>
    </row>
    <row r="381" customFormat="false" ht="15.75" hidden="false" customHeight="false" outlineLevel="0" collapsed="false">
      <c r="A381" s="4"/>
      <c r="B381" s="3"/>
      <c r="C381" s="3"/>
    </row>
    <row r="382" customFormat="false" ht="15.75" hidden="false" customHeight="false" outlineLevel="0" collapsed="false">
      <c r="A382" s="4"/>
      <c r="B382" s="3"/>
      <c r="C382" s="3"/>
    </row>
    <row r="383" customFormat="false" ht="15.75" hidden="false" customHeight="false" outlineLevel="0" collapsed="false">
      <c r="A383" s="4"/>
      <c r="B383" s="3"/>
      <c r="C383" s="3"/>
    </row>
    <row r="384" customFormat="false" ht="15.75" hidden="false" customHeight="false" outlineLevel="0" collapsed="false">
      <c r="A384" s="4"/>
      <c r="B384" s="3"/>
      <c r="C384" s="3"/>
    </row>
    <row r="385" customFormat="false" ht="15.75" hidden="false" customHeight="false" outlineLevel="0" collapsed="false">
      <c r="A385" s="4"/>
      <c r="B385" s="3"/>
      <c r="C385" s="3"/>
    </row>
    <row r="386" customFormat="false" ht="15.75" hidden="false" customHeight="false" outlineLevel="0" collapsed="false">
      <c r="A386" s="4"/>
      <c r="B386" s="3"/>
      <c r="C386" s="3"/>
    </row>
    <row r="387" customFormat="false" ht="15.75" hidden="false" customHeight="false" outlineLevel="0" collapsed="false">
      <c r="A387" s="4"/>
      <c r="B387" s="3"/>
      <c r="C387" s="3"/>
    </row>
    <row r="388" customFormat="false" ht="15.75" hidden="false" customHeight="false" outlineLevel="0" collapsed="false">
      <c r="A388" s="4"/>
      <c r="B388" s="3"/>
      <c r="C388" s="3"/>
    </row>
    <row r="389" customFormat="false" ht="15.75" hidden="false" customHeight="false" outlineLevel="0" collapsed="false">
      <c r="A389" s="4"/>
      <c r="B389" s="3"/>
      <c r="C389" s="3"/>
    </row>
    <row r="390" customFormat="false" ht="15.75" hidden="false" customHeight="false" outlineLevel="0" collapsed="false">
      <c r="A390" s="4"/>
      <c r="B390" s="3"/>
      <c r="C390" s="3"/>
    </row>
    <row r="391" customFormat="false" ht="15.75" hidden="false" customHeight="false" outlineLevel="0" collapsed="false">
      <c r="A391" s="4"/>
      <c r="B391" s="3"/>
      <c r="C391" s="3"/>
    </row>
    <row r="392" customFormat="false" ht="15.75" hidden="false" customHeight="false" outlineLevel="0" collapsed="false">
      <c r="A392" s="4"/>
      <c r="B392" s="3"/>
      <c r="C392" s="3"/>
    </row>
    <row r="393" customFormat="false" ht="15.75" hidden="false" customHeight="false" outlineLevel="0" collapsed="false">
      <c r="A393" s="4"/>
      <c r="B393" s="3"/>
      <c r="C393" s="3"/>
    </row>
    <row r="394" customFormat="false" ht="15.75" hidden="false" customHeight="false" outlineLevel="0" collapsed="false">
      <c r="A394" s="4"/>
      <c r="B394" s="3"/>
      <c r="C394" s="3"/>
    </row>
    <row r="395" customFormat="false" ht="15.75" hidden="false" customHeight="false" outlineLevel="0" collapsed="false">
      <c r="A395" s="4"/>
      <c r="B395" s="3"/>
      <c r="C395" s="3"/>
    </row>
    <row r="396" customFormat="false" ht="15.75" hidden="false" customHeight="false" outlineLevel="0" collapsed="false">
      <c r="A396" s="4"/>
      <c r="B396" s="3"/>
      <c r="C396" s="3"/>
    </row>
    <row r="397" customFormat="false" ht="15.75" hidden="false" customHeight="false" outlineLevel="0" collapsed="false">
      <c r="A397" s="4"/>
      <c r="B397" s="3"/>
      <c r="C397" s="3"/>
    </row>
    <row r="398" customFormat="false" ht="15.75" hidden="false" customHeight="false" outlineLevel="0" collapsed="false">
      <c r="A398" s="4"/>
      <c r="B398" s="3"/>
      <c r="C398" s="3"/>
    </row>
    <row r="399" customFormat="false" ht="15.75" hidden="false" customHeight="false" outlineLevel="0" collapsed="false">
      <c r="A399" s="4"/>
      <c r="B399" s="3"/>
      <c r="C399" s="3"/>
    </row>
    <row r="400" customFormat="false" ht="15.75" hidden="false" customHeight="false" outlineLevel="0" collapsed="false">
      <c r="A400" s="4"/>
      <c r="B400" s="3"/>
      <c r="C400" s="3"/>
    </row>
    <row r="401" customFormat="false" ht="15.75" hidden="false" customHeight="false" outlineLevel="0" collapsed="false">
      <c r="A401" s="4"/>
      <c r="B401" s="3"/>
      <c r="C401" s="3"/>
    </row>
    <row r="402" customFormat="false" ht="15.75" hidden="false" customHeight="false" outlineLevel="0" collapsed="false">
      <c r="A402" s="4"/>
      <c r="B402" s="3"/>
      <c r="C402" s="3"/>
    </row>
    <row r="403" customFormat="false" ht="15.75" hidden="false" customHeight="false" outlineLevel="0" collapsed="false">
      <c r="A403" s="4"/>
      <c r="B403" s="3"/>
      <c r="C403" s="3"/>
    </row>
    <row r="404" customFormat="false" ht="15.75" hidden="false" customHeight="false" outlineLevel="0" collapsed="false">
      <c r="A404" s="4"/>
      <c r="B404" s="3"/>
      <c r="C404" s="3"/>
    </row>
    <row r="405" customFormat="false" ht="15.75" hidden="false" customHeight="false" outlineLevel="0" collapsed="false">
      <c r="A405" s="4"/>
      <c r="B405" s="3"/>
      <c r="C405" s="3"/>
    </row>
    <row r="406" customFormat="false" ht="15.75" hidden="false" customHeight="false" outlineLevel="0" collapsed="false">
      <c r="A406" s="4"/>
      <c r="B406" s="3"/>
      <c r="C406" s="3"/>
    </row>
    <row r="407" customFormat="false" ht="15.75" hidden="false" customHeight="false" outlineLevel="0" collapsed="false">
      <c r="A407" s="4"/>
      <c r="B407" s="3"/>
      <c r="C407" s="3"/>
    </row>
    <row r="408" customFormat="false" ht="15.75" hidden="false" customHeight="false" outlineLevel="0" collapsed="false">
      <c r="A408" s="4"/>
      <c r="B408" s="3"/>
      <c r="C408" s="3"/>
    </row>
    <row r="409" customFormat="false" ht="15.75" hidden="false" customHeight="false" outlineLevel="0" collapsed="false">
      <c r="A409" s="4"/>
      <c r="B409" s="3"/>
      <c r="C409" s="3"/>
    </row>
    <row r="410" customFormat="false" ht="15.75" hidden="false" customHeight="false" outlineLevel="0" collapsed="false">
      <c r="A410" s="4"/>
      <c r="B410" s="3"/>
      <c r="C410" s="3"/>
    </row>
    <row r="411" customFormat="false" ht="15.75" hidden="false" customHeight="false" outlineLevel="0" collapsed="false">
      <c r="A411" s="4"/>
      <c r="B411" s="3"/>
      <c r="C411" s="3"/>
    </row>
    <row r="412" customFormat="false" ht="15.75" hidden="false" customHeight="false" outlineLevel="0" collapsed="false">
      <c r="A412" s="4"/>
      <c r="B412" s="3"/>
      <c r="C412" s="3"/>
    </row>
    <row r="413" customFormat="false" ht="15.75" hidden="false" customHeight="false" outlineLevel="0" collapsed="false">
      <c r="A413" s="4"/>
      <c r="B413" s="3"/>
      <c r="C413" s="3"/>
    </row>
    <row r="414" customFormat="false" ht="15.75" hidden="false" customHeight="false" outlineLevel="0" collapsed="false">
      <c r="A414" s="4"/>
      <c r="B414" s="3"/>
      <c r="C414" s="3"/>
    </row>
    <row r="415" customFormat="false" ht="15.75" hidden="false" customHeight="false" outlineLevel="0" collapsed="false">
      <c r="A415" s="4"/>
      <c r="B415" s="3"/>
      <c r="C415" s="3"/>
    </row>
    <row r="416" customFormat="false" ht="15.75" hidden="false" customHeight="false" outlineLevel="0" collapsed="false">
      <c r="A416" s="4"/>
      <c r="B416" s="3"/>
      <c r="C416" s="3"/>
    </row>
    <row r="417" customFormat="false" ht="15.75" hidden="false" customHeight="false" outlineLevel="0" collapsed="false">
      <c r="A417" s="4"/>
      <c r="B417" s="3"/>
      <c r="C417" s="3"/>
    </row>
    <row r="418" customFormat="false" ht="15.75" hidden="false" customHeight="false" outlineLevel="0" collapsed="false">
      <c r="A418" s="4"/>
      <c r="B418" s="3"/>
      <c r="C418" s="3"/>
    </row>
    <row r="419" customFormat="false" ht="15.75" hidden="false" customHeight="false" outlineLevel="0" collapsed="false">
      <c r="A419" s="4"/>
      <c r="B419" s="3"/>
      <c r="C419" s="3"/>
    </row>
    <row r="420" customFormat="false" ht="15.75" hidden="false" customHeight="false" outlineLevel="0" collapsed="false">
      <c r="A420" s="4"/>
      <c r="B420" s="3"/>
      <c r="C420" s="3"/>
    </row>
    <row r="421" customFormat="false" ht="15.75" hidden="false" customHeight="false" outlineLevel="0" collapsed="false">
      <c r="A421" s="4"/>
      <c r="B421" s="3"/>
      <c r="C421" s="3"/>
    </row>
    <row r="422" customFormat="false" ht="15.75" hidden="false" customHeight="false" outlineLevel="0" collapsed="false">
      <c r="A422" s="4"/>
      <c r="B422" s="3"/>
      <c r="C422" s="3"/>
    </row>
    <row r="423" customFormat="false" ht="15.75" hidden="false" customHeight="false" outlineLevel="0" collapsed="false">
      <c r="A423" s="4"/>
      <c r="B423" s="3"/>
      <c r="C423" s="3"/>
    </row>
    <row r="424" customFormat="false" ht="15.75" hidden="false" customHeight="false" outlineLevel="0" collapsed="false">
      <c r="A424" s="4"/>
      <c r="B424" s="3"/>
      <c r="C424" s="3"/>
    </row>
    <row r="425" customFormat="false" ht="15.75" hidden="false" customHeight="false" outlineLevel="0" collapsed="false">
      <c r="A425" s="4"/>
      <c r="B425" s="3"/>
      <c r="C425" s="3"/>
    </row>
    <row r="426" customFormat="false" ht="15.75" hidden="false" customHeight="false" outlineLevel="0" collapsed="false">
      <c r="A426" s="4"/>
      <c r="B426" s="3"/>
      <c r="C426" s="3"/>
    </row>
    <row r="427" customFormat="false" ht="15.75" hidden="false" customHeight="false" outlineLevel="0" collapsed="false">
      <c r="A427" s="4"/>
      <c r="B427" s="3"/>
      <c r="C427" s="3"/>
    </row>
    <row r="428" customFormat="false" ht="15.75" hidden="false" customHeight="false" outlineLevel="0" collapsed="false">
      <c r="A428" s="4"/>
      <c r="B428" s="3"/>
      <c r="C428" s="3"/>
    </row>
    <row r="429" customFormat="false" ht="15.75" hidden="false" customHeight="false" outlineLevel="0" collapsed="false">
      <c r="A429" s="4"/>
      <c r="B429" s="3"/>
      <c r="C429" s="3"/>
    </row>
    <row r="430" customFormat="false" ht="15.75" hidden="false" customHeight="false" outlineLevel="0" collapsed="false">
      <c r="A430" s="4"/>
      <c r="B430" s="3"/>
      <c r="C430" s="3"/>
    </row>
    <row r="431" customFormat="false" ht="15.75" hidden="false" customHeight="false" outlineLevel="0" collapsed="false">
      <c r="A431" s="4"/>
      <c r="B431" s="3"/>
      <c r="C431" s="3"/>
    </row>
    <row r="432" customFormat="false" ht="15.75" hidden="false" customHeight="false" outlineLevel="0" collapsed="false">
      <c r="A432" s="4"/>
      <c r="B432" s="3"/>
      <c r="C432" s="3"/>
    </row>
    <row r="433" customFormat="false" ht="15.75" hidden="false" customHeight="false" outlineLevel="0" collapsed="false">
      <c r="A433" s="4"/>
      <c r="B433" s="3"/>
      <c r="C433" s="3"/>
    </row>
    <row r="434" customFormat="false" ht="15.75" hidden="false" customHeight="false" outlineLevel="0" collapsed="false">
      <c r="A434" s="4"/>
      <c r="B434" s="3"/>
      <c r="C434" s="3"/>
    </row>
    <row r="435" customFormat="false" ht="15.75" hidden="false" customHeight="false" outlineLevel="0" collapsed="false">
      <c r="A435" s="4"/>
      <c r="B435" s="3"/>
      <c r="C435" s="3"/>
    </row>
    <row r="436" customFormat="false" ht="15.75" hidden="false" customHeight="false" outlineLevel="0" collapsed="false">
      <c r="A436" s="4"/>
      <c r="B436" s="3"/>
      <c r="C436" s="3"/>
    </row>
    <row r="437" customFormat="false" ht="15.75" hidden="false" customHeight="false" outlineLevel="0" collapsed="false">
      <c r="A437" s="4"/>
      <c r="B437" s="3"/>
      <c r="C437" s="3"/>
    </row>
    <row r="438" customFormat="false" ht="15.75" hidden="false" customHeight="false" outlineLevel="0" collapsed="false">
      <c r="A438" s="4"/>
      <c r="B438" s="3"/>
      <c r="C438" s="3"/>
    </row>
    <row r="439" customFormat="false" ht="15.75" hidden="false" customHeight="false" outlineLevel="0" collapsed="false">
      <c r="A439" s="4"/>
      <c r="B439" s="3"/>
      <c r="C439" s="3"/>
    </row>
    <row r="440" customFormat="false" ht="15.75" hidden="false" customHeight="false" outlineLevel="0" collapsed="false">
      <c r="A440" s="4"/>
      <c r="B440" s="3"/>
      <c r="C440" s="3"/>
    </row>
    <row r="441" customFormat="false" ht="15.75" hidden="false" customHeight="false" outlineLevel="0" collapsed="false">
      <c r="A441" s="4"/>
      <c r="B441" s="3"/>
      <c r="C441" s="3"/>
    </row>
    <row r="442" customFormat="false" ht="15.75" hidden="false" customHeight="false" outlineLevel="0" collapsed="false">
      <c r="A442" s="4"/>
      <c r="B442" s="3"/>
      <c r="C442" s="3"/>
    </row>
    <row r="443" customFormat="false" ht="15.75" hidden="false" customHeight="false" outlineLevel="0" collapsed="false">
      <c r="A443" s="4"/>
      <c r="B443" s="3"/>
      <c r="C443" s="3"/>
    </row>
    <row r="444" customFormat="false" ht="15.75" hidden="false" customHeight="false" outlineLevel="0" collapsed="false">
      <c r="A444" s="4"/>
      <c r="B444" s="3"/>
      <c r="C444" s="3"/>
    </row>
    <row r="445" customFormat="false" ht="15.75" hidden="false" customHeight="false" outlineLevel="0" collapsed="false">
      <c r="A445" s="4"/>
      <c r="B445" s="3"/>
      <c r="C445" s="3"/>
    </row>
    <row r="446" customFormat="false" ht="15.75" hidden="false" customHeight="false" outlineLevel="0" collapsed="false">
      <c r="A446" s="4"/>
      <c r="B446" s="3"/>
      <c r="C446" s="3"/>
    </row>
    <row r="447" customFormat="false" ht="15.75" hidden="false" customHeight="false" outlineLevel="0" collapsed="false">
      <c r="A447" s="4"/>
      <c r="B447" s="3"/>
      <c r="C447" s="3"/>
    </row>
    <row r="448" customFormat="false" ht="15.75" hidden="false" customHeight="false" outlineLevel="0" collapsed="false">
      <c r="A448" s="4"/>
      <c r="B448" s="3"/>
      <c r="C448" s="3"/>
    </row>
    <row r="449" customFormat="false" ht="15.75" hidden="false" customHeight="false" outlineLevel="0" collapsed="false">
      <c r="A449" s="4"/>
      <c r="B449" s="3"/>
      <c r="C449" s="3"/>
    </row>
    <row r="450" customFormat="false" ht="15.75" hidden="false" customHeight="false" outlineLevel="0" collapsed="false">
      <c r="A450" s="4"/>
      <c r="B450" s="3"/>
      <c r="C450" s="3"/>
    </row>
    <row r="451" customFormat="false" ht="15.75" hidden="false" customHeight="false" outlineLevel="0" collapsed="false">
      <c r="A451" s="4"/>
      <c r="B451" s="3"/>
      <c r="C451" s="3"/>
    </row>
    <row r="452" customFormat="false" ht="15.75" hidden="false" customHeight="false" outlineLevel="0" collapsed="false">
      <c r="A452" s="4"/>
      <c r="B452" s="3"/>
      <c r="C452" s="3"/>
    </row>
    <row r="453" customFormat="false" ht="15.75" hidden="false" customHeight="false" outlineLevel="0" collapsed="false">
      <c r="A453" s="4"/>
      <c r="B453" s="3"/>
      <c r="C453" s="3"/>
    </row>
    <row r="454" customFormat="false" ht="15.75" hidden="false" customHeight="false" outlineLevel="0" collapsed="false">
      <c r="A454" s="4"/>
      <c r="B454" s="3"/>
      <c r="C454" s="3"/>
    </row>
    <row r="455" customFormat="false" ht="15.75" hidden="false" customHeight="false" outlineLevel="0" collapsed="false">
      <c r="A455" s="4"/>
      <c r="B455" s="3"/>
      <c r="C455" s="3"/>
    </row>
    <row r="456" customFormat="false" ht="15.75" hidden="false" customHeight="false" outlineLevel="0" collapsed="false">
      <c r="A456" s="4"/>
      <c r="B456" s="3"/>
      <c r="C456" s="3"/>
    </row>
    <row r="457" customFormat="false" ht="15.75" hidden="false" customHeight="false" outlineLevel="0" collapsed="false">
      <c r="A457" s="4"/>
      <c r="B457" s="3"/>
      <c r="C457" s="3"/>
    </row>
    <row r="458" customFormat="false" ht="15.75" hidden="false" customHeight="false" outlineLevel="0" collapsed="false">
      <c r="A458" s="4"/>
      <c r="B458" s="3"/>
      <c r="C458" s="3"/>
    </row>
    <row r="459" customFormat="false" ht="15.75" hidden="false" customHeight="false" outlineLevel="0" collapsed="false">
      <c r="A459" s="4"/>
      <c r="B459" s="3"/>
      <c r="C459" s="3"/>
    </row>
    <row r="460" customFormat="false" ht="15.75" hidden="false" customHeight="false" outlineLevel="0" collapsed="false">
      <c r="A460" s="4"/>
      <c r="B460" s="3"/>
      <c r="C460" s="3"/>
    </row>
    <row r="461" customFormat="false" ht="15.75" hidden="false" customHeight="false" outlineLevel="0" collapsed="false">
      <c r="A461" s="4"/>
      <c r="B461" s="3"/>
      <c r="C461" s="3"/>
    </row>
    <row r="462" customFormat="false" ht="15.75" hidden="false" customHeight="false" outlineLevel="0" collapsed="false">
      <c r="A462" s="4"/>
      <c r="B462" s="3"/>
      <c r="C462" s="3"/>
    </row>
    <row r="463" customFormat="false" ht="15.75" hidden="false" customHeight="false" outlineLevel="0" collapsed="false">
      <c r="A463" s="4"/>
      <c r="B463" s="3"/>
      <c r="C463" s="3"/>
    </row>
    <row r="464" customFormat="false" ht="15.75" hidden="false" customHeight="false" outlineLevel="0" collapsed="false">
      <c r="A464" s="4"/>
      <c r="B464" s="3"/>
      <c r="C464" s="3"/>
    </row>
    <row r="465" customFormat="false" ht="15.75" hidden="false" customHeight="false" outlineLevel="0" collapsed="false">
      <c r="A465" s="4"/>
      <c r="B465" s="3"/>
      <c r="C465" s="3"/>
    </row>
    <row r="466" customFormat="false" ht="15.75" hidden="false" customHeight="false" outlineLevel="0" collapsed="false">
      <c r="A466" s="4"/>
      <c r="B466" s="3"/>
      <c r="C466" s="3"/>
    </row>
    <row r="467" customFormat="false" ht="15.75" hidden="false" customHeight="false" outlineLevel="0" collapsed="false">
      <c r="A467" s="4"/>
      <c r="B467" s="3"/>
      <c r="C467" s="3"/>
    </row>
    <row r="468" customFormat="false" ht="15.75" hidden="false" customHeight="false" outlineLevel="0" collapsed="false">
      <c r="A468" s="4"/>
      <c r="B468" s="3"/>
      <c r="C468" s="3"/>
    </row>
    <row r="469" customFormat="false" ht="15.75" hidden="false" customHeight="false" outlineLevel="0" collapsed="false">
      <c r="A469" s="4"/>
      <c r="B469" s="3"/>
      <c r="C469" s="3"/>
    </row>
    <row r="470" customFormat="false" ht="15.75" hidden="false" customHeight="false" outlineLevel="0" collapsed="false">
      <c r="A470" s="4"/>
      <c r="B470" s="3"/>
      <c r="C470" s="3"/>
    </row>
    <row r="471" customFormat="false" ht="15.75" hidden="false" customHeight="false" outlineLevel="0" collapsed="false">
      <c r="A471" s="4"/>
      <c r="B471" s="3"/>
      <c r="C471" s="3"/>
    </row>
    <row r="472" customFormat="false" ht="15.75" hidden="false" customHeight="false" outlineLevel="0" collapsed="false">
      <c r="A472" s="4"/>
      <c r="B472" s="3"/>
      <c r="C472" s="3"/>
    </row>
    <row r="473" customFormat="false" ht="15.75" hidden="false" customHeight="false" outlineLevel="0" collapsed="false">
      <c r="A473" s="4"/>
      <c r="B473" s="3"/>
      <c r="C473" s="3"/>
    </row>
    <row r="474" customFormat="false" ht="15.75" hidden="false" customHeight="false" outlineLevel="0" collapsed="false">
      <c r="A474" s="4"/>
      <c r="B474" s="3"/>
      <c r="C474" s="3"/>
    </row>
    <row r="475" customFormat="false" ht="15.75" hidden="false" customHeight="false" outlineLevel="0" collapsed="false">
      <c r="A475" s="4"/>
      <c r="B475" s="3"/>
      <c r="C475" s="3"/>
    </row>
    <row r="476" customFormat="false" ht="15.75" hidden="false" customHeight="false" outlineLevel="0" collapsed="false">
      <c r="A476" s="4"/>
      <c r="B476" s="3"/>
      <c r="C476" s="3"/>
    </row>
    <row r="477" customFormat="false" ht="15.75" hidden="false" customHeight="false" outlineLevel="0" collapsed="false">
      <c r="A477" s="4"/>
      <c r="B477" s="3"/>
      <c r="C477" s="3"/>
    </row>
    <row r="478" customFormat="false" ht="15.75" hidden="false" customHeight="false" outlineLevel="0" collapsed="false">
      <c r="A478" s="4"/>
      <c r="B478" s="3"/>
      <c r="C478" s="3"/>
    </row>
    <row r="479" customFormat="false" ht="15.75" hidden="false" customHeight="false" outlineLevel="0" collapsed="false">
      <c r="A479" s="4"/>
      <c r="B479" s="3"/>
      <c r="C479" s="3"/>
    </row>
    <row r="480" customFormat="false" ht="15.75" hidden="false" customHeight="false" outlineLevel="0" collapsed="false">
      <c r="A480" s="4"/>
      <c r="B480" s="3"/>
      <c r="C480" s="3"/>
    </row>
    <row r="481" customFormat="false" ht="15.75" hidden="false" customHeight="false" outlineLevel="0" collapsed="false">
      <c r="A481" s="4"/>
      <c r="B481" s="3"/>
      <c r="C481" s="3"/>
    </row>
    <row r="482" customFormat="false" ht="15.75" hidden="false" customHeight="false" outlineLevel="0" collapsed="false">
      <c r="A482" s="4"/>
      <c r="B482" s="3"/>
      <c r="C482" s="3"/>
    </row>
    <row r="483" customFormat="false" ht="15.75" hidden="false" customHeight="false" outlineLevel="0" collapsed="false">
      <c r="A483" s="4"/>
      <c r="B483" s="3"/>
      <c r="C483" s="3"/>
    </row>
    <row r="484" customFormat="false" ht="15.75" hidden="false" customHeight="false" outlineLevel="0" collapsed="false">
      <c r="A484" s="4"/>
      <c r="B484" s="3"/>
      <c r="C484" s="3"/>
    </row>
    <row r="485" customFormat="false" ht="15.75" hidden="false" customHeight="false" outlineLevel="0" collapsed="false">
      <c r="A485" s="4"/>
      <c r="B485" s="3"/>
      <c r="C485" s="3"/>
    </row>
    <row r="486" customFormat="false" ht="15.75" hidden="false" customHeight="false" outlineLevel="0" collapsed="false">
      <c r="A486" s="4"/>
      <c r="B486" s="3"/>
      <c r="C486" s="3"/>
    </row>
    <row r="487" customFormat="false" ht="15.75" hidden="false" customHeight="false" outlineLevel="0" collapsed="false">
      <c r="A487" s="4"/>
      <c r="B487" s="3"/>
      <c r="C487" s="3"/>
    </row>
    <row r="488" customFormat="false" ht="15.75" hidden="false" customHeight="false" outlineLevel="0" collapsed="false">
      <c r="A488" s="4"/>
      <c r="B488" s="3"/>
      <c r="C488" s="3"/>
    </row>
    <row r="489" customFormat="false" ht="15.75" hidden="false" customHeight="false" outlineLevel="0" collapsed="false">
      <c r="A489" s="4"/>
      <c r="B489" s="3"/>
      <c r="C489" s="3"/>
    </row>
    <row r="490" customFormat="false" ht="15.75" hidden="false" customHeight="false" outlineLevel="0" collapsed="false">
      <c r="A490" s="4"/>
      <c r="B490" s="3"/>
      <c r="C490" s="3"/>
    </row>
    <row r="491" customFormat="false" ht="15.75" hidden="false" customHeight="false" outlineLevel="0" collapsed="false">
      <c r="A491" s="4"/>
      <c r="B491" s="3"/>
      <c r="C491" s="3"/>
    </row>
    <row r="492" customFormat="false" ht="15.75" hidden="false" customHeight="false" outlineLevel="0" collapsed="false">
      <c r="A492" s="4"/>
      <c r="B492" s="3"/>
      <c r="C492" s="3"/>
    </row>
    <row r="493" customFormat="false" ht="15.75" hidden="false" customHeight="false" outlineLevel="0" collapsed="false">
      <c r="A493" s="4"/>
      <c r="B493" s="3"/>
      <c r="C493" s="3"/>
    </row>
    <row r="494" customFormat="false" ht="15.75" hidden="false" customHeight="false" outlineLevel="0" collapsed="false">
      <c r="A494" s="4"/>
      <c r="B494" s="3"/>
      <c r="C494" s="3"/>
    </row>
    <row r="495" customFormat="false" ht="15.75" hidden="false" customHeight="false" outlineLevel="0" collapsed="false">
      <c r="A495" s="4"/>
      <c r="B495" s="3"/>
      <c r="C495" s="3"/>
    </row>
    <row r="496" customFormat="false" ht="15.75" hidden="false" customHeight="false" outlineLevel="0" collapsed="false">
      <c r="A496" s="4"/>
      <c r="B496" s="3"/>
      <c r="C496" s="3"/>
    </row>
    <row r="497" customFormat="false" ht="15.75" hidden="false" customHeight="false" outlineLevel="0" collapsed="false">
      <c r="A497" s="4"/>
      <c r="B497" s="3"/>
      <c r="C497" s="3"/>
    </row>
    <row r="498" customFormat="false" ht="15.75" hidden="false" customHeight="false" outlineLevel="0" collapsed="false">
      <c r="A498" s="4"/>
      <c r="B498" s="3"/>
      <c r="C498" s="3"/>
    </row>
    <row r="499" customFormat="false" ht="15.75" hidden="false" customHeight="false" outlineLevel="0" collapsed="false">
      <c r="A499" s="4"/>
      <c r="B499" s="3"/>
      <c r="C499" s="3"/>
    </row>
    <row r="500" customFormat="false" ht="15.75" hidden="false" customHeight="false" outlineLevel="0" collapsed="false">
      <c r="A500" s="4"/>
      <c r="B500" s="3"/>
      <c r="C500" s="3"/>
    </row>
    <row r="501" customFormat="false" ht="15.75" hidden="false" customHeight="false" outlineLevel="0" collapsed="false">
      <c r="A501" s="4"/>
      <c r="B501" s="3"/>
      <c r="C501" s="3"/>
    </row>
    <row r="502" customFormat="false" ht="15.75" hidden="false" customHeight="false" outlineLevel="0" collapsed="false">
      <c r="A502" s="4"/>
      <c r="B502" s="3"/>
      <c r="C502" s="3"/>
    </row>
    <row r="503" customFormat="false" ht="15.75" hidden="false" customHeight="false" outlineLevel="0" collapsed="false">
      <c r="A503" s="4"/>
      <c r="B503" s="3"/>
      <c r="C503" s="3"/>
    </row>
    <row r="504" customFormat="false" ht="15.75" hidden="false" customHeight="false" outlineLevel="0" collapsed="false">
      <c r="A504" s="4"/>
      <c r="B504" s="3"/>
      <c r="C504" s="3"/>
    </row>
    <row r="505" customFormat="false" ht="15.75" hidden="false" customHeight="false" outlineLevel="0" collapsed="false">
      <c r="A505" s="4"/>
      <c r="B505" s="3"/>
      <c r="C505" s="3"/>
    </row>
    <row r="506" customFormat="false" ht="15.75" hidden="false" customHeight="false" outlineLevel="0" collapsed="false">
      <c r="A506" s="4"/>
      <c r="B506" s="3"/>
      <c r="C506" s="3"/>
    </row>
    <row r="507" customFormat="false" ht="15.75" hidden="false" customHeight="false" outlineLevel="0" collapsed="false">
      <c r="A507" s="4"/>
      <c r="B507" s="3"/>
      <c r="C507" s="3"/>
    </row>
    <row r="508" customFormat="false" ht="15.75" hidden="false" customHeight="false" outlineLevel="0" collapsed="false">
      <c r="A508" s="4"/>
      <c r="B508" s="3"/>
      <c r="C508" s="3"/>
    </row>
    <row r="509" customFormat="false" ht="15.75" hidden="false" customHeight="false" outlineLevel="0" collapsed="false">
      <c r="A509" s="4"/>
      <c r="B509" s="3"/>
      <c r="C509" s="3"/>
    </row>
    <row r="510" customFormat="false" ht="15.75" hidden="false" customHeight="false" outlineLevel="0" collapsed="false">
      <c r="A510" s="4"/>
      <c r="B510" s="3"/>
      <c r="C510" s="3"/>
    </row>
    <row r="511" customFormat="false" ht="15.75" hidden="false" customHeight="false" outlineLevel="0" collapsed="false">
      <c r="A511" s="4"/>
      <c r="B511" s="3"/>
      <c r="C511" s="3"/>
    </row>
    <row r="512" customFormat="false" ht="15.75" hidden="false" customHeight="false" outlineLevel="0" collapsed="false">
      <c r="A512" s="4"/>
      <c r="B512" s="3"/>
      <c r="C512" s="3"/>
    </row>
    <row r="513" customFormat="false" ht="15.75" hidden="false" customHeight="false" outlineLevel="0" collapsed="false">
      <c r="A513" s="4"/>
      <c r="B513" s="3"/>
      <c r="C513" s="3"/>
    </row>
    <row r="514" customFormat="false" ht="15.75" hidden="false" customHeight="false" outlineLevel="0" collapsed="false">
      <c r="A514" s="4"/>
      <c r="B514" s="3"/>
      <c r="C514" s="3"/>
    </row>
    <row r="515" customFormat="false" ht="15.75" hidden="false" customHeight="false" outlineLevel="0" collapsed="false">
      <c r="A515" s="4"/>
      <c r="B515" s="3"/>
      <c r="C515" s="3"/>
    </row>
    <row r="516" customFormat="false" ht="15.75" hidden="false" customHeight="false" outlineLevel="0" collapsed="false">
      <c r="A516" s="4"/>
      <c r="B516" s="3"/>
      <c r="C516" s="3"/>
    </row>
    <row r="517" customFormat="false" ht="15.75" hidden="false" customHeight="false" outlineLevel="0" collapsed="false">
      <c r="A517" s="4"/>
      <c r="B517" s="3"/>
      <c r="C517" s="3"/>
    </row>
    <row r="518" customFormat="false" ht="15.75" hidden="false" customHeight="false" outlineLevel="0" collapsed="false">
      <c r="A518" s="4"/>
      <c r="B518" s="3"/>
      <c r="C518" s="3"/>
    </row>
    <row r="519" customFormat="false" ht="15.75" hidden="false" customHeight="false" outlineLevel="0" collapsed="false">
      <c r="A519" s="4"/>
      <c r="B519" s="3"/>
      <c r="C519" s="3"/>
    </row>
    <row r="520" customFormat="false" ht="15.75" hidden="false" customHeight="false" outlineLevel="0" collapsed="false">
      <c r="A520" s="4"/>
      <c r="B520" s="3"/>
      <c r="C520" s="3"/>
    </row>
    <row r="521" customFormat="false" ht="15.75" hidden="false" customHeight="false" outlineLevel="0" collapsed="false">
      <c r="A521" s="4"/>
      <c r="B521" s="3"/>
      <c r="C521" s="3"/>
    </row>
    <row r="522" customFormat="false" ht="15.75" hidden="false" customHeight="false" outlineLevel="0" collapsed="false">
      <c r="A522" s="4"/>
      <c r="B522" s="3"/>
      <c r="C522" s="3"/>
    </row>
    <row r="523" customFormat="false" ht="15.75" hidden="false" customHeight="false" outlineLevel="0" collapsed="false">
      <c r="A523" s="4"/>
      <c r="B523" s="3"/>
      <c r="C523" s="3"/>
    </row>
    <row r="524" customFormat="false" ht="15.75" hidden="false" customHeight="false" outlineLevel="0" collapsed="false">
      <c r="A524" s="4"/>
      <c r="B524" s="3"/>
      <c r="C524" s="3"/>
    </row>
    <row r="525" customFormat="false" ht="15.75" hidden="false" customHeight="false" outlineLevel="0" collapsed="false">
      <c r="A525" s="4"/>
      <c r="B525" s="3"/>
      <c r="C525" s="3"/>
    </row>
    <row r="526" customFormat="false" ht="15.75" hidden="false" customHeight="false" outlineLevel="0" collapsed="false">
      <c r="A526" s="4"/>
      <c r="B526" s="3"/>
      <c r="C526" s="3"/>
    </row>
    <row r="527" customFormat="false" ht="15.75" hidden="false" customHeight="false" outlineLevel="0" collapsed="false">
      <c r="A527" s="4"/>
      <c r="B527" s="3"/>
      <c r="C527" s="3"/>
    </row>
    <row r="528" customFormat="false" ht="15.75" hidden="false" customHeight="false" outlineLevel="0" collapsed="false">
      <c r="A528" s="4"/>
      <c r="B528" s="3"/>
      <c r="C528" s="3"/>
    </row>
    <row r="529" customFormat="false" ht="15.75" hidden="false" customHeight="false" outlineLevel="0" collapsed="false">
      <c r="A529" s="4"/>
      <c r="B529" s="3"/>
      <c r="C529" s="3"/>
    </row>
    <row r="530" customFormat="false" ht="15.75" hidden="false" customHeight="false" outlineLevel="0" collapsed="false">
      <c r="A530" s="4"/>
      <c r="B530" s="3"/>
      <c r="C530" s="3"/>
    </row>
    <row r="531" customFormat="false" ht="15.75" hidden="false" customHeight="false" outlineLevel="0" collapsed="false">
      <c r="A531" s="4"/>
      <c r="B531" s="3"/>
      <c r="C531" s="3"/>
    </row>
    <row r="532" customFormat="false" ht="15.75" hidden="false" customHeight="false" outlineLevel="0" collapsed="false">
      <c r="A532" s="4"/>
      <c r="B532" s="3"/>
      <c r="C532" s="3"/>
    </row>
    <row r="533" customFormat="false" ht="15.75" hidden="false" customHeight="false" outlineLevel="0" collapsed="false">
      <c r="A533" s="4"/>
      <c r="B533" s="3"/>
      <c r="C533" s="3"/>
    </row>
    <row r="534" customFormat="false" ht="15.75" hidden="false" customHeight="false" outlineLevel="0" collapsed="false">
      <c r="A534" s="4"/>
      <c r="B534" s="3"/>
      <c r="C534" s="3"/>
    </row>
    <row r="535" customFormat="false" ht="15.75" hidden="false" customHeight="false" outlineLevel="0" collapsed="false">
      <c r="A535" s="4"/>
      <c r="B535" s="3"/>
      <c r="C535" s="3"/>
    </row>
    <row r="536" customFormat="false" ht="15.75" hidden="false" customHeight="false" outlineLevel="0" collapsed="false">
      <c r="A536" s="4"/>
      <c r="B536" s="3"/>
      <c r="C536" s="3"/>
    </row>
    <row r="537" customFormat="false" ht="15.75" hidden="false" customHeight="false" outlineLevel="0" collapsed="false">
      <c r="A537" s="4"/>
      <c r="B537" s="3"/>
      <c r="C537" s="3"/>
    </row>
    <row r="538" customFormat="false" ht="15.75" hidden="false" customHeight="false" outlineLevel="0" collapsed="false">
      <c r="A538" s="4"/>
      <c r="B538" s="3"/>
      <c r="C538" s="3"/>
    </row>
    <row r="539" customFormat="false" ht="15.75" hidden="false" customHeight="false" outlineLevel="0" collapsed="false">
      <c r="A539" s="4"/>
      <c r="B539" s="3"/>
      <c r="C539" s="3"/>
    </row>
    <row r="540" customFormat="false" ht="15.75" hidden="false" customHeight="false" outlineLevel="0" collapsed="false">
      <c r="A540" s="4"/>
      <c r="B540" s="3"/>
      <c r="C540" s="3"/>
    </row>
    <row r="541" customFormat="false" ht="15.75" hidden="false" customHeight="false" outlineLevel="0" collapsed="false">
      <c r="A541" s="4"/>
      <c r="B541" s="3"/>
      <c r="C541" s="3"/>
    </row>
    <row r="542" customFormat="false" ht="15.75" hidden="false" customHeight="false" outlineLevel="0" collapsed="false">
      <c r="A542" s="4"/>
      <c r="B542" s="3"/>
      <c r="C542" s="3"/>
    </row>
    <row r="543" customFormat="false" ht="15.75" hidden="false" customHeight="false" outlineLevel="0" collapsed="false">
      <c r="A543" s="4"/>
      <c r="B543" s="3"/>
      <c r="C543" s="3"/>
    </row>
    <row r="544" customFormat="false" ht="15.75" hidden="false" customHeight="false" outlineLevel="0" collapsed="false">
      <c r="A544" s="4"/>
      <c r="B544" s="3"/>
      <c r="C544" s="3"/>
    </row>
    <row r="545" customFormat="false" ht="15.75" hidden="false" customHeight="false" outlineLevel="0" collapsed="false">
      <c r="A545" s="4"/>
      <c r="B545" s="3"/>
      <c r="C545" s="3"/>
    </row>
    <row r="546" customFormat="false" ht="15.75" hidden="false" customHeight="false" outlineLevel="0" collapsed="false">
      <c r="A546" s="4"/>
      <c r="B546" s="3"/>
      <c r="C546" s="3"/>
    </row>
    <row r="547" customFormat="false" ht="15.75" hidden="false" customHeight="false" outlineLevel="0" collapsed="false">
      <c r="A547" s="4"/>
      <c r="B547" s="3"/>
      <c r="C547" s="3"/>
    </row>
    <row r="548" customFormat="false" ht="15.75" hidden="false" customHeight="false" outlineLevel="0" collapsed="false">
      <c r="A548" s="4"/>
      <c r="B548" s="3"/>
      <c r="C548" s="3"/>
    </row>
    <row r="549" customFormat="false" ht="15.75" hidden="false" customHeight="false" outlineLevel="0" collapsed="false">
      <c r="A549" s="4"/>
      <c r="B549" s="3"/>
      <c r="C549" s="3"/>
    </row>
    <row r="550" customFormat="false" ht="15.75" hidden="false" customHeight="false" outlineLevel="0" collapsed="false">
      <c r="A550" s="4"/>
      <c r="B550" s="3"/>
      <c r="C550" s="3"/>
    </row>
    <row r="551" customFormat="false" ht="15.75" hidden="false" customHeight="false" outlineLevel="0" collapsed="false">
      <c r="A551" s="4"/>
      <c r="B551" s="3"/>
      <c r="C551" s="3"/>
    </row>
    <row r="552" customFormat="false" ht="15.75" hidden="false" customHeight="false" outlineLevel="0" collapsed="false">
      <c r="A552" s="4"/>
      <c r="B552" s="3"/>
      <c r="C552" s="3"/>
    </row>
    <row r="553" customFormat="false" ht="15.75" hidden="false" customHeight="false" outlineLevel="0" collapsed="false">
      <c r="A553" s="4"/>
      <c r="B553" s="3"/>
      <c r="C553" s="3"/>
    </row>
    <row r="554" customFormat="false" ht="15.75" hidden="false" customHeight="false" outlineLevel="0" collapsed="false">
      <c r="A554" s="4"/>
      <c r="B554" s="3"/>
      <c r="C554" s="3"/>
    </row>
    <row r="555" customFormat="false" ht="15.75" hidden="false" customHeight="false" outlineLevel="0" collapsed="false">
      <c r="A555" s="4"/>
      <c r="B555" s="3"/>
      <c r="C555" s="3"/>
    </row>
    <row r="556" customFormat="false" ht="15.75" hidden="false" customHeight="false" outlineLevel="0" collapsed="false">
      <c r="A556" s="4"/>
      <c r="B556" s="3"/>
      <c r="C556" s="3"/>
    </row>
    <row r="557" customFormat="false" ht="15.75" hidden="false" customHeight="false" outlineLevel="0" collapsed="false">
      <c r="A557" s="4"/>
      <c r="B557" s="3"/>
      <c r="C557" s="3"/>
    </row>
    <row r="558" customFormat="false" ht="15.75" hidden="false" customHeight="false" outlineLevel="0" collapsed="false">
      <c r="A558" s="4"/>
      <c r="B558" s="3"/>
      <c r="C558" s="3"/>
    </row>
    <row r="559" customFormat="false" ht="15.75" hidden="false" customHeight="false" outlineLevel="0" collapsed="false">
      <c r="A559" s="4"/>
      <c r="B559" s="3"/>
      <c r="C559" s="3"/>
    </row>
    <row r="560" customFormat="false" ht="15.75" hidden="false" customHeight="false" outlineLevel="0" collapsed="false">
      <c r="A560" s="4"/>
      <c r="B560" s="3"/>
      <c r="C560" s="3"/>
    </row>
    <row r="561" customFormat="false" ht="15.75" hidden="false" customHeight="false" outlineLevel="0" collapsed="false">
      <c r="A561" s="4"/>
      <c r="B561" s="3"/>
      <c r="C561" s="3"/>
    </row>
    <row r="562" customFormat="false" ht="15.75" hidden="false" customHeight="false" outlineLevel="0" collapsed="false">
      <c r="A562" s="4"/>
      <c r="B562" s="3"/>
      <c r="C562" s="3"/>
    </row>
    <row r="563" customFormat="false" ht="15.75" hidden="false" customHeight="false" outlineLevel="0" collapsed="false">
      <c r="A563" s="4"/>
      <c r="B563" s="3"/>
      <c r="C563" s="3"/>
    </row>
    <row r="564" customFormat="false" ht="15.75" hidden="false" customHeight="false" outlineLevel="0" collapsed="false">
      <c r="A564" s="4"/>
      <c r="B564" s="3"/>
      <c r="C564" s="3"/>
    </row>
    <row r="565" customFormat="false" ht="15.75" hidden="false" customHeight="false" outlineLevel="0" collapsed="false">
      <c r="A565" s="4"/>
      <c r="B565" s="3"/>
      <c r="C565" s="3"/>
    </row>
    <row r="566" customFormat="false" ht="15.75" hidden="false" customHeight="false" outlineLevel="0" collapsed="false">
      <c r="A566" s="4"/>
      <c r="B566" s="3"/>
      <c r="C566" s="3"/>
    </row>
    <row r="567" customFormat="false" ht="15.75" hidden="false" customHeight="false" outlineLevel="0" collapsed="false">
      <c r="A567" s="4"/>
      <c r="B567" s="3"/>
      <c r="C567" s="3"/>
    </row>
    <row r="568" customFormat="false" ht="15.75" hidden="false" customHeight="false" outlineLevel="0" collapsed="false">
      <c r="A568" s="4"/>
      <c r="B568" s="3"/>
      <c r="C568" s="3"/>
    </row>
    <row r="569" customFormat="false" ht="15.75" hidden="false" customHeight="false" outlineLevel="0" collapsed="false">
      <c r="A569" s="4"/>
      <c r="B569" s="3"/>
      <c r="C569" s="3"/>
    </row>
    <row r="570" customFormat="false" ht="15.75" hidden="false" customHeight="false" outlineLevel="0" collapsed="false">
      <c r="A570" s="4"/>
      <c r="B570" s="3"/>
      <c r="C570" s="3"/>
    </row>
    <row r="571" customFormat="false" ht="15.75" hidden="false" customHeight="false" outlineLevel="0" collapsed="false">
      <c r="A571" s="4"/>
      <c r="B571" s="3"/>
      <c r="C571" s="3"/>
    </row>
    <row r="572" customFormat="false" ht="15.75" hidden="false" customHeight="false" outlineLevel="0" collapsed="false">
      <c r="A572" s="4"/>
      <c r="B572" s="3"/>
      <c r="C572" s="3"/>
    </row>
    <row r="573" customFormat="false" ht="15.75" hidden="false" customHeight="false" outlineLevel="0" collapsed="false">
      <c r="A573" s="4"/>
      <c r="B573" s="3"/>
      <c r="C573" s="3"/>
    </row>
    <row r="574" customFormat="false" ht="15.75" hidden="false" customHeight="false" outlineLevel="0" collapsed="false">
      <c r="A574" s="4"/>
      <c r="B574" s="3"/>
      <c r="C574" s="3"/>
    </row>
    <row r="575" customFormat="false" ht="15.75" hidden="false" customHeight="false" outlineLevel="0" collapsed="false">
      <c r="A575" s="4"/>
      <c r="B575" s="3"/>
      <c r="C575" s="3"/>
    </row>
    <row r="576" customFormat="false" ht="15.75" hidden="false" customHeight="false" outlineLevel="0" collapsed="false">
      <c r="A576" s="4"/>
      <c r="B576" s="3"/>
      <c r="C576" s="3"/>
    </row>
    <row r="577" customFormat="false" ht="15.75" hidden="false" customHeight="false" outlineLevel="0" collapsed="false">
      <c r="A577" s="4"/>
      <c r="B577" s="3"/>
      <c r="C577" s="3"/>
    </row>
    <row r="578" customFormat="false" ht="15.75" hidden="false" customHeight="false" outlineLevel="0" collapsed="false">
      <c r="A578" s="4"/>
      <c r="B578" s="3"/>
      <c r="C578" s="3"/>
    </row>
    <row r="579" customFormat="false" ht="15.75" hidden="false" customHeight="false" outlineLevel="0" collapsed="false">
      <c r="A579" s="4"/>
      <c r="B579" s="3"/>
      <c r="C579" s="3"/>
    </row>
    <row r="580" customFormat="false" ht="15.75" hidden="false" customHeight="false" outlineLevel="0" collapsed="false">
      <c r="A580" s="4"/>
      <c r="B580" s="3"/>
      <c r="C580" s="3"/>
    </row>
    <row r="581" customFormat="false" ht="15.75" hidden="false" customHeight="false" outlineLevel="0" collapsed="false">
      <c r="A581" s="4"/>
      <c r="B581" s="3"/>
      <c r="C581" s="3"/>
    </row>
    <row r="582" customFormat="false" ht="15.75" hidden="false" customHeight="false" outlineLevel="0" collapsed="false">
      <c r="A582" s="4"/>
      <c r="B582" s="3"/>
      <c r="C582" s="3"/>
    </row>
    <row r="583" customFormat="false" ht="15.75" hidden="false" customHeight="false" outlineLevel="0" collapsed="false">
      <c r="A583" s="4"/>
      <c r="B583" s="3"/>
      <c r="C583" s="3"/>
    </row>
    <row r="584" customFormat="false" ht="15.75" hidden="false" customHeight="false" outlineLevel="0" collapsed="false">
      <c r="A584" s="4"/>
      <c r="B584" s="3"/>
      <c r="C584" s="3"/>
    </row>
    <row r="585" customFormat="false" ht="15.75" hidden="false" customHeight="false" outlineLevel="0" collapsed="false">
      <c r="A585" s="4"/>
      <c r="B585" s="3"/>
      <c r="C585" s="3"/>
    </row>
    <row r="586" customFormat="false" ht="15.75" hidden="false" customHeight="false" outlineLevel="0" collapsed="false">
      <c r="A586" s="4"/>
      <c r="B586" s="3"/>
      <c r="C586" s="3"/>
    </row>
    <row r="587" customFormat="false" ht="15.75" hidden="false" customHeight="false" outlineLevel="0" collapsed="false">
      <c r="A587" s="4"/>
      <c r="B587" s="3"/>
      <c r="C587" s="3"/>
    </row>
    <row r="588" customFormat="false" ht="15.75" hidden="false" customHeight="false" outlineLevel="0" collapsed="false">
      <c r="A588" s="4"/>
      <c r="B588" s="3"/>
      <c r="C588" s="3"/>
    </row>
    <row r="589" customFormat="false" ht="15.75" hidden="false" customHeight="false" outlineLevel="0" collapsed="false">
      <c r="A589" s="4"/>
      <c r="B589" s="3"/>
      <c r="C589" s="3"/>
    </row>
    <row r="590" customFormat="false" ht="15.75" hidden="false" customHeight="false" outlineLevel="0" collapsed="false">
      <c r="A590" s="4"/>
      <c r="B590" s="3"/>
      <c r="C590" s="3"/>
    </row>
    <row r="591" customFormat="false" ht="15.75" hidden="false" customHeight="false" outlineLevel="0" collapsed="false">
      <c r="A591" s="4"/>
      <c r="B591" s="3"/>
      <c r="C591" s="3"/>
    </row>
    <row r="592" customFormat="false" ht="15.75" hidden="false" customHeight="false" outlineLevel="0" collapsed="false">
      <c r="A592" s="4"/>
      <c r="B592" s="3"/>
      <c r="C592" s="3"/>
    </row>
    <row r="593" customFormat="false" ht="15.75" hidden="false" customHeight="false" outlineLevel="0" collapsed="false">
      <c r="A593" s="4"/>
      <c r="B593" s="3"/>
      <c r="C593" s="3"/>
    </row>
    <row r="594" customFormat="false" ht="15.75" hidden="false" customHeight="false" outlineLevel="0" collapsed="false">
      <c r="A594" s="4"/>
      <c r="B594" s="3"/>
      <c r="C594" s="3"/>
    </row>
    <row r="595" customFormat="false" ht="15.75" hidden="false" customHeight="false" outlineLevel="0" collapsed="false">
      <c r="A595" s="4"/>
      <c r="B595" s="3"/>
      <c r="C595" s="3"/>
    </row>
    <row r="596" customFormat="false" ht="15.75" hidden="false" customHeight="false" outlineLevel="0" collapsed="false">
      <c r="A596" s="4"/>
      <c r="B596" s="3"/>
      <c r="C596" s="3"/>
    </row>
    <row r="597" customFormat="false" ht="15.75" hidden="false" customHeight="false" outlineLevel="0" collapsed="false">
      <c r="A597" s="4"/>
      <c r="B597" s="3"/>
      <c r="C597" s="3"/>
    </row>
    <row r="598" customFormat="false" ht="15.75" hidden="false" customHeight="false" outlineLevel="0" collapsed="false">
      <c r="A598" s="4"/>
      <c r="B598" s="3"/>
      <c r="C598" s="3"/>
    </row>
    <row r="599" customFormat="false" ht="15.75" hidden="false" customHeight="false" outlineLevel="0" collapsed="false">
      <c r="A599" s="4"/>
      <c r="B599" s="3"/>
      <c r="C599" s="3"/>
    </row>
    <row r="600" customFormat="false" ht="15.75" hidden="false" customHeight="false" outlineLevel="0" collapsed="false">
      <c r="A600" s="4"/>
      <c r="B600" s="3"/>
      <c r="C600" s="3"/>
    </row>
    <row r="601" customFormat="false" ht="15.75" hidden="false" customHeight="false" outlineLevel="0" collapsed="false">
      <c r="A601" s="4"/>
      <c r="B601" s="3"/>
      <c r="C601" s="3"/>
    </row>
    <row r="602" customFormat="false" ht="15.75" hidden="false" customHeight="false" outlineLevel="0" collapsed="false">
      <c r="A602" s="4"/>
      <c r="B602" s="3"/>
      <c r="C602" s="3"/>
    </row>
    <row r="603" customFormat="false" ht="15.75" hidden="false" customHeight="false" outlineLevel="0" collapsed="false">
      <c r="A603" s="4"/>
      <c r="B603" s="3"/>
      <c r="C603" s="3"/>
    </row>
    <row r="604" customFormat="false" ht="15.75" hidden="false" customHeight="false" outlineLevel="0" collapsed="false">
      <c r="A604" s="4"/>
      <c r="B604" s="3"/>
      <c r="C604" s="3"/>
    </row>
    <row r="605" customFormat="false" ht="15.75" hidden="false" customHeight="false" outlineLevel="0" collapsed="false">
      <c r="A605" s="4"/>
      <c r="B605" s="3"/>
      <c r="C605" s="3"/>
    </row>
    <row r="606" customFormat="false" ht="15.75" hidden="false" customHeight="false" outlineLevel="0" collapsed="false">
      <c r="A606" s="4"/>
      <c r="B606" s="3"/>
      <c r="C606" s="3"/>
    </row>
    <row r="607" customFormat="false" ht="15.75" hidden="false" customHeight="false" outlineLevel="0" collapsed="false">
      <c r="A607" s="4"/>
      <c r="B607" s="3"/>
      <c r="C607" s="3"/>
    </row>
    <row r="608" customFormat="false" ht="15.75" hidden="false" customHeight="false" outlineLevel="0" collapsed="false">
      <c r="A608" s="4"/>
      <c r="B608" s="3"/>
      <c r="C608" s="3"/>
    </row>
    <row r="609" customFormat="false" ht="15.75" hidden="false" customHeight="false" outlineLevel="0" collapsed="false">
      <c r="A609" s="4"/>
      <c r="B609" s="3"/>
      <c r="C609" s="3"/>
    </row>
    <row r="610" customFormat="false" ht="15.75" hidden="false" customHeight="false" outlineLevel="0" collapsed="false">
      <c r="A610" s="4"/>
      <c r="B610" s="3"/>
      <c r="C610" s="3"/>
    </row>
    <row r="611" customFormat="false" ht="15.75" hidden="false" customHeight="false" outlineLevel="0" collapsed="false">
      <c r="A611" s="4"/>
      <c r="B611" s="3"/>
      <c r="C611" s="3"/>
    </row>
    <row r="612" customFormat="false" ht="15.75" hidden="false" customHeight="false" outlineLevel="0" collapsed="false">
      <c r="A612" s="4"/>
      <c r="B612" s="3"/>
      <c r="C612" s="3"/>
    </row>
    <row r="613" customFormat="false" ht="15.75" hidden="false" customHeight="false" outlineLevel="0" collapsed="false">
      <c r="A613" s="4"/>
      <c r="B613" s="3"/>
      <c r="C613" s="3"/>
    </row>
    <row r="614" customFormat="false" ht="15.75" hidden="false" customHeight="false" outlineLevel="0" collapsed="false">
      <c r="A614" s="4"/>
      <c r="B614" s="3"/>
      <c r="C614" s="3"/>
    </row>
    <row r="615" customFormat="false" ht="15.75" hidden="false" customHeight="false" outlineLevel="0" collapsed="false">
      <c r="A615" s="4"/>
      <c r="B615" s="3"/>
      <c r="C615" s="3"/>
    </row>
    <row r="616" customFormat="false" ht="15.75" hidden="false" customHeight="false" outlineLevel="0" collapsed="false">
      <c r="A616" s="4"/>
      <c r="B616" s="3"/>
      <c r="C616" s="3"/>
    </row>
    <row r="617" customFormat="false" ht="15.75" hidden="false" customHeight="false" outlineLevel="0" collapsed="false">
      <c r="A617" s="4"/>
      <c r="B617" s="3"/>
      <c r="C617" s="3"/>
    </row>
    <row r="618" customFormat="false" ht="15.75" hidden="false" customHeight="false" outlineLevel="0" collapsed="false">
      <c r="A618" s="4"/>
      <c r="B618" s="3"/>
      <c r="C618" s="3"/>
    </row>
    <row r="619" customFormat="false" ht="15.75" hidden="false" customHeight="false" outlineLevel="0" collapsed="false">
      <c r="A619" s="4"/>
      <c r="B619" s="3"/>
      <c r="C619" s="3"/>
    </row>
    <row r="620" customFormat="false" ht="15.75" hidden="false" customHeight="false" outlineLevel="0" collapsed="false">
      <c r="A620" s="4"/>
      <c r="B620" s="3"/>
      <c r="C620" s="3"/>
    </row>
    <row r="621" customFormat="false" ht="15.75" hidden="false" customHeight="false" outlineLevel="0" collapsed="false">
      <c r="A621" s="4"/>
      <c r="B621" s="3"/>
      <c r="C621" s="3"/>
    </row>
    <row r="622" customFormat="false" ht="15.75" hidden="false" customHeight="false" outlineLevel="0" collapsed="false">
      <c r="A622" s="4"/>
      <c r="B622" s="3"/>
      <c r="C622" s="3"/>
    </row>
    <row r="623" customFormat="false" ht="15.75" hidden="false" customHeight="false" outlineLevel="0" collapsed="false">
      <c r="A623" s="4"/>
      <c r="B623" s="3"/>
      <c r="C623" s="3"/>
    </row>
    <row r="624" customFormat="false" ht="15.75" hidden="false" customHeight="false" outlineLevel="0" collapsed="false">
      <c r="A624" s="4"/>
      <c r="B624" s="3"/>
      <c r="C624" s="3"/>
    </row>
    <row r="625" customFormat="false" ht="15.75" hidden="false" customHeight="false" outlineLevel="0" collapsed="false">
      <c r="A625" s="4"/>
      <c r="B625" s="3"/>
      <c r="C625" s="3"/>
    </row>
    <row r="626" customFormat="false" ht="15.75" hidden="false" customHeight="false" outlineLevel="0" collapsed="false">
      <c r="A626" s="4"/>
      <c r="B626" s="3"/>
      <c r="C626" s="3"/>
    </row>
    <row r="627" customFormat="false" ht="15.75" hidden="false" customHeight="false" outlineLevel="0" collapsed="false">
      <c r="A627" s="4"/>
      <c r="B627" s="3"/>
      <c r="C627" s="3"/>
    </row>
    <row r="628" customFormat="false" ht="15.75" hidden="false" customHeight="false" outlineLevel="0" collapsed="false">
      <c r="A628" s="4"/>
      <c r="B628" s="3"/>
      <c r="C628" s="3"/>
    </row>
    <row r="629" customFormat="false" ht="15.75" hidden="false" customHeight="false" outlineLevel="0" collapsed="false">
      <c r="A629" s="4"/>
      <c r="B629" s="3"/>
      <c r="C629" s="3"/>
    </row>
    <row r="630" customFormat="false" ht="15.75" hidden="false" customHeight="false" outlineLevel="0" collapsed="false">
      <c r="A630" s="4"/>
      <c r="B630" s="3"/>
      <c r="C630" s="3"/>
    </row>
    <row r="631" customFormat="false" ht="15.75" hidden="false" customHeight="false" outlineLevel="0" collapsed="false">
      <c r="A631" s="4"/>
      <c r="B631" s="3"/>
      <c r="C631" s="3"/>
    </row>
    <row r="632" customFormat="false" ht="15.75" hidden="false" customHeight="false" outlineLevel="0" collapsed="false">
      <c r="A632" s="4"/>
      <c r="B632" s="3"/>
      <c r="C632" s="3"/>
    </row>
    <row r="633" customFormat="false" ht="15.75" hidden="false" customHeight="false" outlineLevel="0" collapsed="false">
      <c r="A633" s="4"/>
      <c r="B633" s="3"/>
      <c r="C633" s="3"/>
    </row>
    <row r="634" customFormat="false" ht="15.75" hidden="false" customHeight="false" outlineLevel="0" collapsed="false">
      <c r="A634" s="4"/>
      <c r="B634" s="3"/>
      <c r="C634" s="3"/>
    </row>
    <row r="635" customFormat="false" ht="15.75" hidden="false" customHeight="false" outlineLevel="0" collapsed="false">
      <c r="A635" s="4"/>
      <c r="B635" s="3"/>
      <c r="C635" s="3"/>
    </row>
    <row r="636" customFormat="false" ht="15.75" hidden="false" customHeight="false" outlineLevel="0" collapsed="false">
      <c r="A636" s="4"/>
      <c r="B636" s="3"/>
      <c r="C636" s="3"/>
    </row>
    <row r="637" customFormat="false" ht="15.75" hidden="false" customHeight="false" outlineLevel="0" collapsed="false">
      <c r="A637" s="4"/>
      <c r="B637" s="3"/>
      <c r="C637" s="3"/>
    </row>
    <row r="638" customFormat="false" ht="15.75" hidden="false" customHeight="false" outlineLevel="0" collapsed="false">
      <c r="A638" s="4"/>
      <c r="B638" s="3"/>
      <c r="C638" s="3"/>
    </row>
    <row r="639" customFormat="false" ht="15.75" hidden="false" customHeight="false" outlineLevel="0" collapsed="false">
      <c r="A639" s="4"/>
      <c r="B639" s="3"/>
      <c r="C639" s="3"/>
    </row>
    <row r="640" customFormat="false" ht="15.75" hidden="false" customHeight="false" outlineLevel="0" collapsed="false">
      <c r="A640" s="4"/>
      <c r="B640" s="3"/>
      <c r="C640" s="3"/>
    </row>
    <row r="641" customFormat="false" ht="15.75" hidden="false" customHeight="false" outlineLevel="0" collapsed="false">
      <c r="A641" s="4"/>
      <c r="B641" s="3"/>
      <c r="C641" s="3"/>
    </row>
    <row r="642" customFormat="false" ht="15.75" hidden="false" customHeight="false" outlineLevel="0" collapsed="false">
      <c r="A642" s="4"/>
      <c r="B642" s="3"/>
      <c r="C642" s="3"/>
    </row>
    <row r="643" customFormat="false" ht="15.75" hidden="false" customHeight="false" outlineLevel="0" collapsed="false">
      <c r="A643" s="4"/>
      <c r="B643" s="3"/>
      <c r="C643" s="3"/>
    </row>
    <row r="644" customFormat="false" ht="15.75" hidden="false" customHeight="false" outlineLevel="0" collapsed="false">
      <c r="A644" s="4"/>
      <c r="B644" s="3"/>
      <c r="C644" s="3"/>
    </row>
    <row r="645" customFormat="false" ht="15.75" hidden="false" customHeight="false" outlineLevel="0" collapsed="false">
      <c r="A645" s="4"/>
      <c r="B645" s="3"/>
      <c r="C645" s="3"/>
    </row>
    <row r="646" customFormat="false" ht="15.75" hidden="false" customHeight="false" outlineLevel="0" collapsed="false">
      <c r="A646" s="4"/>
      <c r="B646" s="3"/>
      <c r="C646" s="3"/>
    </row>
    <row r="647" customFormat="false" ht="15.75" hidden="false" customHeight="false" outlineLevel="0" collapsed="false">
      <c r="A647" s="4"/>
      <c r="B647" s="3"/>
      <c r="C647" s="3"/>
    </row>
    <row r="648" customFormat="false" ht="15.75" hidden="false" customHeight="false" outlineLevel="0" collapsed="false">
      <c r="A648" s="4"/>
      <c r="B648" s="3"/>
      <c r="C648" s="3"/>
    </row>
    <row r="649" customFormat="false" ht="15.75" hidden="false" customHeight="false" outlineLevel="0" collapsed="false">
      <c r="A649" s="4"/>
      <c r="B649" s="3"/>
      <c r="C649" s="3"/>
    </row>
    <row r="650" customFormat="false" ht="15.75" hidden="false" customHeight="false" outlineLevel="0" collapsed="false">
      <c r="A650" s="4"/>
      <c r="B650" s="3"/>
      <c r="C650" s="3"/>
    </row>
    <row r="651" customFormat="false" ht="15.75" hidden="false" customHeight="false" outlineLevel="0" collapsed="false">
      <c r="A651" s="4"/>
      <c r="B651" s="3"/>
      <c r="C651" s="3"/>
    </row>
    <row r="652" customFormat="false" ht="15.75" hidden="false" customHeight="false" outlineLevel="0" collapsed="false">
      <c r="A652" s="4"/>
      <c r="B652" s="3"/>
      <c r="C652" s="3"/>
    </row>
    <row r="653" customFormat="false" ht="15.75" hidden="false" customHeight="false" outlineLevel="0" collapsed="false">
      <c r="A653" s="4"/>
      <c r="B653" s="3"/>
      <c r="C653" s="3"/>
    </row>
    <row r="654" customFormat="false" ht="15.75" hidden="false" customHeight="false" outlineLevel="0" collapsed="false">
      <c r="A654" s="4"/>
      <c r="B654" s="3"/>
      <c r="C654" s="3"/>
    </row>
    <row r="655" customFormat="false" ht="15.75" hidden="false" customHeight="false" outlineLevel="0" collapsed="false">
      <c r="A655" s="4"/>
      <c r="B655" s="3"/>
      <c r="C655" s="3"/>
    </row>
    <row r="656" customFormat="false" ht="15.75" hidden="false" customHeight="false" outlineLevel="0" collapsed="false">
      <c r="A656" s="4"/>
      <c r="B656" s="3"/>
      <c r="C656" s="3"/>
    </row>
    <row r="657" customFormat="false" ht="15.75" hidden="false" customHeight="false" outlineLevel="0" collapsed="false">
      <c r="A657" s="4"/>
      <c r="B657" s="3"/>
      <c r="C657" s="3"/>
    </row>
    <row r="658" customFormat="false" ht="15.75" hidden="false" customHeight="false" outlineLevel="0" collapsed="false">
      <c r="A658" s="4"/>
      <c r="B658" s="3"/>
      <c r="C658" s="3"/>
    </row>
    <row r="659" customFormat="false" ht="15.75" hidden="false" customHeight="false" outlineLevel="0" collapsed="false">
      <c r="A659" s="4"/>
      <c r="B659" s="3"/>
      <c r="C659" s="3"/>
    </row>
    <row r="660" customFormat="false" ht="15.75" hidden="false" customHeight="false" outlineLevel="0" collapsed="false">
      <c r="A660" s="4"/>
      <c r="B660" s="3"/>
      <c r="C660" s="3"/>
    </row>
    <row r="661" customFormat="false" ht="15.75" hidden="false" customHeight="false" outlineLevel="0" collapsed="false">
      <c r="A661" s="4"/>
      <c r="B661" s="3"/>
      <c r="C661" s="3"/>
    </row>
    <row r="662" customFormat="false" ht="15.75" hidden="false" customHeight="false" outlineLevel="0" collapsed="false">
      <c r="A662" s="4"/>
      <c r="B662" s="3"/>
      <c r="C662" s="3"/>
    </row>
    <row r="663" customFormat="false" ht="15.75" hidden="false" customHeight="false" outlineLevel="0" collapsed="false">
      <c r="A663" s="4"/>
      <c r="B663" s="3"/>
      <c r="C663" s="3"/>
    </row>
    <row r="664" customFormat="false" ht="15.75" hidden="false" customHeight="false" outlineLevel="0" collapsed="false">
      <c r="A664" s="4"/>
      <c r="B664" s="3"/>
      <c r="C664" s="3"/>
    </row>
    <row r="665" customFormat="false" ht="15.75" hidden="false" customHeight="false" outlineLevel="0" collapsed="false">
      <c r="A665" s="4"/>
      <c r="B665" s="3"/>
      <c r="C665" s="3"/>
    </row>
    <row r="666" customFormat="false" ht="15.75" hidden="false" customHeight="false" outlineLevel="0" collapsed="false">
      <c r="A666" s="4"/>
      <c r="B666" s="3"/>
      <c r="C666" s="3"/>
    </row>
    <row r="667" customFormat="false" ht="15.75" hidden="false" customHeight="false" outlineLevel="0" collapsed="false">
      <c r="A667" s="4"/>
      <c r="B667" s="3"/>
      <c r="C667" s="3"/>
    </row>
    <row r="668" customFormat="false" ht="15.75" hidden="false" customHeight="false" outlineLevel="0" collapsed="false">
      <c r="A668" s="4"/>
      <c r="B668" s="3"/>
      <c r="C668" s="3"/>
    </row>
    <row r="669" customFormat="false" ht="15.75" hidden="false" customHeight="false" outlineLevel="0" collapsed="false">
      <c r="A669" s="4"/>
      <c r="B669" s="3"/>
      <c r="C669" s="3"/>
    </row>
    <row r="670" customFormat="false" ht="15.75" hidden="false" customHeight="false" outlineLevel="0" collapsed="false">
      <c r="A670" s="4"/>
      <c r="B670" s="3"/>
      <c r="C670" s="3"/>
    </row>
    <row r="671" customFormat="false" ht="15.75" hidden="false" customHeight="false" outlineLevel="0" collapsed="false">
      <c r="A671" s="4"/>
      <c r="B671" s="3"/>
      <c r="C671" s="3"/>
    </row>
    <row r="672" customFormat="false" ht="15.75" hidden="false" customHeight="false" outlineLevel="0" collapsed="false">
      <c r="A672" s="4"/>
      <c r="B672" s="3"/>
      <c r="C672" s="3"/>
    </row>
    <row r="673" customFormat="false" ht="15.75" hidden="false" customHeight="false" outlineLevel="0" collapsed="false">
      <c r="A673" s="4"/>
      <c r="B673" s="3"/>
      <c r="C673" s="3"/>
    </row>
    <row r="674" customFormat="false" ht="15.75" hidden="false" customHeight="false" outlineLevel="0" collapsed="false">
      <c r="A674" s="4"/>
      <c r="B674" s="3"/>
      <c r="C674" s="3"/>
    </row>
    <row r="675" customFormat="false" ht="15.75" hidden="false" customHeight="false" outlineLevel="0" collapsed="false">
      <c r="A675" s="4"/>
      <c r="B675" s="3"/>
      <c r="C675" s="3"/>
    </row>
    <row r="676" customFormat="false" ht="15.75" hidden="false" customHeight="false" outlineLevel="0" collapsed="false">
      <c r="A676" s="4"/>
      <c r="B676" s="3"/>
      <c r="C676" s="3"/>
    </row>
    <row r="677" customFormat="false" ht="15.75" hidden="false" customHeight="false" outlineLevel="0" collapsed="false">
      <c r="A677" s="4"/>
      <c r="B677" s="3"/>
      <c r="C677" s="3"/>
    </row>
    <row r="678" customFormat="false" ht="15.75" hidden="false" customHeight="false" outlineLevel="0" collapsed="false">
      <c r="A678" s="4"/>
      <c r="B678" s="3"/>
      <c r="C678" s="3"/>
    </row>
    <row r="679" customFormat="false" ht="15.75" hidden="false" customHeight="false" outlineLevel="0" collapsed="false">
      <c r="A679" s="4"/>
      <c r="B679" s="3"/>
      <c r="C679" s="3"/>
    </row>
    <row r="680" customFormat="false" ht="15.75" hidden="false" customHeight="false" outlineLevel="0" collapsed="false">
      <c r="A680" s="4"/>
      <c r="B680" s="3"/>
      <c r="C680" s="3"/>
    </row>
    <row r="681" customFormat="false" ht="15.75" hidden="false" customHeight="false" outlineLevel="0" collapsed="false">
      <c r="A681" s="4"/>
      <c r="B681" s="3"/>
      <c r="C681" s="3"/>
    </row>
    <row r="682" customFormat="false" ht="15.75" hidden="false" customHeight="false" outlineLevel="0" collapsed="false">
      <c r="A682" s="4"/>
      <c r="B682" s="3"/>
      <c r="C682" s="3"/>
    </row>
    <row r="683" customFormat="false" ht="15.75" hidden="false" customHeight="false" outlineLevel="0" collapsed="false">
      <c r="A683" s="4"/>
      <c r="B683" s="3"/>
      <c r="C683" s="3"/>
    </row>
    <row r="684" customFormat="false" ht="15.75" hidden="false" customHeight="false" outlineLevel="0" collapsed="false">
      <c r="A684" s="4"/>
      <c r="B684" s="3"/>
      <c r="C684" s="3"/>
    </row>
    <row r="685" customFormat="false" ht="15.75" hidden="false" customHeight="false" outlineLevel="0" collapsed="false">
      <c r="A685" s="4"/>
      <c r="B685" s="3"/>
      <c r="C685" s="3"/>
    </row>
    <row r="686" customFormat="false" ht="15.75" hidden="false" customHeight="false" outlineLevel="0" collapsed="false">
      <c r="A686" s="4"/>
      <c r="B686" s="3"/>
      <c r="C686" s="3"/>
    </row>
    <row r="687" customFormat="false" ht="15.75" hidden="false" customHeight="false" outlineLevel="0" collapsed="false">
      <c r="A687" s="4"/>
      <c r="B687" s="3"/>
      <c r="C687" s="3"/>
    </row>
    <row r="688" customFormat="false" ht="15.75" hidden="false" customHeight="false" outlineLevel="0" collapsed="false">
      <c r="A688" s="4"/>
      <c r="B688" s="3"/>
      <c r="C688" s="3"/>
    </row>
    <row r="689" customFormat="false" ht="15.75" hidden="false" customHeight="false" outlineLevel="0" collapsed="false">
      <c r="A689" s="4"/>
      <c r="B689" s="3"/>
      <c r="C689" s="3"/>
    </row>
    <row r="690" customFormat="false" ht="15.75" hidden="false" customHeight="false" outlineLevel="0" collapsed="false">
      <c r="A690" s="4"/>
      <c r="B690" s="3"/>
      <c r="C690" s="3"/>
    </row>
    <row r="691" customFormat="false" ht="15.75" hidden="false" customHeight="false" outlineLevel="0" collapsed="false">
      <c r="A691" s="4"/>
      <c r="B691" s="3"/>
      <c r="C691" s="3"/>
    </row>
    <row r="692" customFormat="false" ht="15.75" hidden="false" customHeight="false" outlineLevel="0" collapsed="false">
      <c r="A692" s="4"/>
      <c r="B692" s="3"/>
      <c r="C692" s="3"/>
    </row>
    <row r="693" customFormat="false" ht="15.75" hidden="false" customHeight="false" outlineLevel="0" collapsed="false">
      <c r="A693" s="4"/>
      <c r="B693" s="3"/>
      <c r="C693" s="3"/>
    </row>
    <row r="694" customFormat="false" ht="15.75" hidden="false" customHeight="false" outlineLevel="0" collapsed="false">
      <c r="A694" s="4"/>
      <c r="B694" s="3"/>
      <c r="C694" s="3"/>
    </row>
    <row r="695" customFormat="false" ht="15.75" hidden="false" customHeight="false" outlineLevel="0" collapsed="false">
      <c r="A695" s="4"/>
      <c r="B695" s="3"/>
      <c r="C695" s="3"/>
    </row>
    <row r="696" customFormat="false" ht="15.75" hidden="false" customHeight="false" outlineLevel="0" collapsed="false">
      <c r="A696" s="4"/>
      <c r="B696" s="3"/>
      <c r="C696" s="3"/>
    </row>
    <row r="697" customFormat="false" ht="15.75" hidden="false" customHeight="false" outlineLevel="0" collapsed="false">
      <c r="A697" s="4"/>
      <c r="B697" s="3"/>
      <c r="C697" s="3"/>
    </row>
    <row r="698" customFormat="false" ht="15.75" hidden="false" customHeight="false" outlineLevel="0" collapsed="false">
      <c r="A698" s="4"/>
      <c r="B698" s="3"/>
      <c r="C698" s="3"/>
    </row>
    <row r="699" customFormat="false" ht="15.75" hidden="false" customHeight="false" outlineLevel="0" collapsed="false">
      <c r="A699" s="4"/>
      <c r="B699" s="3"/>
      <c r="C699" s="3"/>
    </row>
    <row r="700" customFormat="false" ht="15.75" hidden="false" customHeight="false" outlineLevel="0" collapsed="false">
      <c r="A700" s="4"/>
      <c r="B700" s="3"/>
      <c r="C700" s="3"/>
    </row>
    <row r="701" customFormat="false" ht="15.75" hidden="false" customHeight="false" outlineLevel="0" collapsed="false">
      <c r="A701" s="4"/>
      <c r="B701" s="3"/>
      <c r="C701" s="3"/>
    </row>
    <row r="702" customFormat="false" ht="15.75" hidden="false" customHeight="false" outlineLevel="0" collapsed="false">
      <c r="A702" s="4"/>
      <c r="B702" s="3"/>
      <c r="C702" s="3"/>
    </row>
    <row r="703" customFormat="false" ht="15.75" hidden="false" customHeight="false" outlineLevel="0" collapsed="false">
      <c r="A703" s="4"/>
      <c r="B703" s="3"/>
      <c r="C703" s="3"/>
    </row>
    <row r="704" customFormat="false" ht="15.75" hidden="false" customHeight="false" outlineLevel="0" collapsed="false">
      <c r="A704" s="4"/>
      <c r="B704" s="3"/>
      <c r="C704" s="3"/>
    </row>
    <row r="705" customFormat="false" ht="15.75" hidden="false" customHeight="false" outlineLevel="0" collapsed="false">
      <c r="A705" s="4"/>
      <c r="B705" s="3"/>
      <c r="C705" s="3"/>
    </row>
    <row r="706" customFormat="false" ht="15.75" hidden="false" customHeight="false" outlineLevel="0" collapsed="false">
      <c r="A706" s="4"/>
      <c r="B706" s="3"/>
      <c r="C706" s="3"/>
    </row>
    <row r="707" customFormat="false" ht="15.75" hidden="false" customHeight="false" outlineLevel="0" collapsed="false">
      <c r="A707" s="4"/>
      <c r="B707" s="3"/>
      <c r="C707" s="3"/>
    </row>
    <row r="708" customFormat="false" ht="15.75" hidden="false" customHeight="false" outlineLevel="0" collapsed="false">
      <c r="A708" s="4"/>
      <c r="B708" s="3"/>
      <c r="C708" s="3"/>
    </row>
    <row r="709" customFormat="false" ht="15.75" hidden="false" customHeight="false" outlineLevel="0" collapsed="false">
      <c r="A709" s="4"/>
      <c r="B709" s="3"/>
      <c r="C709" s="3"/>
    </row>
    <row r="710" customFormat="false" ht="15.75" hidden="false" customHeight="false" outlineLevel="0" collapsed="false">
      <c r="A710" s="4"/>
      <c r="B710" s="3"/>
      <c r="C710" s="3"/>
    </row>
    <row r="711" customFormat="false" ht="15.75" hidden="false" customHeight="false" outlineLevel="0" collapsed="false">
      <c r="A711" s="4"/>
      <c r="B711" s="3"/>
      <c r="C711" s="3"/>
    </row>
    <row r="712" customFormat="false" ht="15.75" hidden="false" customHeight="false" outlineLevel="0" collapsed="false">
      <c r="A712" s="4"/>
      <c r="B712" s="3"/>
      <c r="C712" s="3"/>
    </row>
    <row r="713" customFormat="false" ht="15.75" hidden="false" customHeight="false" outlineLevel="0" collapsed="false">
      <c r="A713" s="4"/>
      <c r="B713" s="3"/>
      <c r="C713" s="3"/>
    </row>
    <row r="714" customFormat="false" ht="15.75" hidden="false" customHeight="false" outlineLevel="0" collapsed="false">
      <c r="A714" s="4"/>
      <c r="B714" s="3"/>
      <c r="C714" s="3"/>
    </row>
    <row r="715" customFormat="false" ht="15.75" hidden="false" customHeight="false" outlineLevel="0" collapsed="false">
      <c r="A715" s="4"/>
      <c r="B715" s="3"/>
      <c r="C715" s="3"/>
    </row>
    <row r="716" customFormat="false" ht="15.75" hidden="false" customHeight="false" outlineLevel="0" collapsed="false">
      <c r="A716" s="4"/>
      <c r="B716" s="3"/>
      <c r="C716" s="3"/>
    </row>
    <row r="717" customFormat="false" ht="15.75" hidden="false" customHeight="false" outlineLevel="0" collapsed="false">
      <c r="A717" s="4"/>
      <c r="B717" s="3"/>
      <c r="C717" s="3"/>
    </row>
    <row r="718" customFormat="false" ht="15.75" hidden="false" customHeight="false" outlineLevel="0" collapsed="false">
      <c r="A718" s="4"/>
      <c r="B718" s="3"/>
      <c r="C718" s="3"/>
    </row>
    <row r="719" customFormat="false" ht="15.75" hidden="false" customHeight="false" outlineLevel="0" collapsed="false">
      <c r="A719" s="4"/>
      <c r="B719" s="3"/>
      <c r="C719" s="3"/>
    </row>
    <row r="720" customFormat="false" ht="15.75" hidden="false" customHeight="false" outlineLevel="0" collapsed="false">
      <c r="A720" s="4"/>
      <c r="B720" s="3"/>
      <c r="C720" s="3"/>
    </row>
    <row r="721" customFormat="false" ht="15.75" hidden="false" customHeight="false" outlineLevel="0" collapsed="false">
      <c r="A721" s="4"/>
      <c r="B721" s="3"/>
      <c r="C721" s="3"/>
    </row>
    <row r="722" customFormat="false" ht="15.75" hidden="false" customHeight="false" outlineLevel="0" collapsed="false">
      <c r="A722" s="4"/>
      <c r="B722" s="3"/>
      <c r="C722" s="3"/>
    </row>
    <row r="723" customFormat="false" ht="15.75" hidden="false" customHeight="false" outlineLevel="0" collapsed="false">
      <c r="A723" s="4"/>
      <c r="B723" s="3"/>
      <c r="C723" s="3"/>
    </row>
    <row r="724" customFormat="false" ht="15.75" hidden="false" customHeight="false" outlineLevel="0" collapsed="false">
      <c r="A724" s="4"/>
      <c r="B724" s="3"/>
      <c r="C724" s="3"/>
    </row>
    <row r="725" customFormat="false" ht="15.75" hidden="false" customHeight="false" outlineLevel="0" collapsed="false">
      <c r="A725" s="4"/>
      <c r="B725" s="3"/>
      <c r="C725" s="3"/>
    </row>
    <row r="726" customFormat="false" ht="15.75" hidden="false" customHeight="false" outlineLevel="0" collapsed="false">
      <c r="A726" s="4"/>
      <c r="B726" s="3"/>
      <c r="C726" s="3"/>
    </row>
    <row r="727" customFormat="false" ht="15.75" hidden="false" customHeight="false" outlineLevel="0" collapsed="false">
      <c r="A727" s="4"/>
      <c r="B727" s="3"/>
      <c r="C727" s="3"/>
    </row>
    <row r="728" customFormat="false" ht="15.75" hidden="false" customHeight="false" outlineLevel="0" collapsed="false">
      <c r="A728" s="4"/>
      <c r="B728" s="3"/>
      <c r="C728" s="3"/>
    </row>
    <row r="729" customFormat="false" ht="15.75" hidden="false" customHeight="false" outlineLevel="0" collapsed="false">
      <c r="A729" s="4"/>
      <c r="B729" s="3"/>
      <c r="C729" s="3"/>
    </row>
    <row r="730" customFormat="false" ht="15.75" hidden="false" customHeight="false" outlineLevel="0" collapsed="false">
      <c r="A730" s="4"/>
      <c r="B730" s="3"/>
      <c r="C730" s="3"/>
    </row>
    <row r="731" customFormat="false" ht="15.75" hidden="false" customHeight="false" outlineLevel="0" collapsed="false">
      <c r="A731" s="4"/>
      <c r="B731" s="3"/>
      <c r="C731" s="3"/>
    </row>
    <row r="732" customFormat="false" ht="15.75" hidden="false" customHeight="false" outlineLevel="0" collapsed="false">
      <c r="A732" s="4"/>
      <c r="B732" s="3"/>
      <c r="C732" s="3"/>
    </row>
    <row r="733" customFormat="false" ht="15.75" hidden="false" customHeight="false" outlineLevel="0" collapsed="false">
      <c r="A733" s="4"/>
      <c r="B733" s="3"/>
      <c r="C733" s="3"/>
    </row>
    <row r="734" customFormat="false" ht="15.75" hidden="false" customHeight="false" outlineLevel="0" collapsed="false">
      <c r="A734" s="4"/>
      <c r="B734" s="3"/>
      <c r="C734" s="3"/>
    </row>
    <row r="735" customFormat="false" ht="15.75" hidden="false" customHeight="false" outlineLevel="0" collapsed="false">
      <c r="A735" s="4"/>
      <c r="B735" s="3"/>
      <c r="C735" s="3"/>
    </row>
    <row r="736" customFormat="false" ht="15.75" hidden="false" customHeight="false" outlineLevel="0" collapsed="false">
      <c r="A736" s="4"/>
      <c r="B736" s="3"/>
      <c r="C736" s="3"/>
    </row>
    <row r="737" customFormat="false" ht="15.75" hidden="false" customHeight="false" outlineLevel="0" collapsed="false">
      <c r="A737" s="4"/>
      <c r="B737" s="3"/>
      <c r="C737" s="3"/>
    </row>
    <row r="738" customFormat="false" ht="15.75" hidden="false" customHeight="false" outlineLevel="0" collapsed="false">
      <c r="A738" s="4"/>
      <c r="B738" s="3"/>
      <c r="C738" s="3"/>
    </row>
    <row r="739" customFormat="false" ht="15.75" hidden="false" customHeight="false" outlineLevel="0" collapsed="false">
      <c r="A739" s="4"/>
      <c r="B739" s="3"/>
      <c r="C739" s="3"/>
    </row>
    <row r="740" customFormat="false" ht="15.75" hidden="false" customHeight="false" outlineLevel="0" collapsed="false">
      <c r="A740" s="4"/>
      <c r="B740" s="3"/>
      <c r="C740" s="3"/>
    </row>
    <row r="741" customFormat="false" ht="15.75" hidden="false" customHeight="false" outlineLevel="0" collapsed="false">
      <c r="A741" s="4"/>
      <c r="B741" s="3"/>
      <c r="C741" s="3"/>
    </row>
    <row r="742" customFormat="false" ht="15.75" hidden="false" customHeight="false" outlineLevel="0" collapsed="false">
      <c r="A742" s="4"/>
      <c r="B742" s="3"/>
      <c r="C742" s="3"/>
    </row>
    <row r="743" customFormat="false" ht="15.75" hidden="false" customHeight="false" outlineLevel="0" collapsed="false">
      <c r="A743" s="4"/>
      <c r="B743" s="3"/>
      <c r="C743" s="3"/>
    </row>
    <row r="744" customFormat="false" ht="15.75" hidden="false" customHeight="false" outlineLevel="0" collapsed="false">
      <c r="A744" s="4"/>
      <c r="B744" s="3"/>
      <c r="C744" s="3"/>
    </row>
    <row r="745" customFormat="false" ht="15.75" hidden="false" customHeight="false" outlineLevel="0" collapsed="false">
      <c r="A745" s="4"/>
      <c r="B745" s="3"/>
      <c r="C745" s="3"/>
    </row>
    <row r="746" customFormat="false" ht="15.75" hidden="false" customHeight="false" outlineLevel="0" collapsed="false">
      <c r="A746" s="4"/>
      <c r="B746" s="3"/>
      <c r="C746" s="3"/>
    </row>
    <row r="747" customFormat="false" ht="15.75" hidden="false" customHeight="false" outlineLevel="0" collapsed="false">
      <c r="A747" s="4"/>
      <c r="B747" s="3"/>
      <c r="C747" s="3"/>
    </row>
    <row r="748" customFormat="false" ht="15.75" hidden="false" customHeight="false" outlineLevel="0" collapsed="false">
      <c r="A748" s="4"/>
      <c r="B748" s="3"/>
      <c r="C748" s="3"/>
    </row>
    <row r="749" customFormat="false" ht="15.75" hidden="false" customHeight="false" outlineLevel="0" collapsed="false">
      <c r="A749" s="4"/>
      <c r="B749" s="3"/>
      <c r="C749" s="3"/>
    </row>
    <row r="750" customFormat="false" ht="15.75" hidden="false" customHeight="false" outlineLevel="0" collapsed="false">
      <c r="A750" s="4"/>
      <c r="B750" s="3"/>
      <c r="C750" s="3"/>
    </row>
    <row r="751" customFormat="false" ht="15.75" hidden="false" customHeight="false" outlineLevel="0" collapsed="false">
      <c r="A751" s="4"/>
      <c r="B751" s="3"/>
      <c r="C751" s="3"/>
    </row>
    <row r="752" customFormat="false" ht="15.75" hidden="false" customHeight="false" outlineLevel="0" collapsed="false">
      <c r="A752" s="4"/>
      <c r="B752" s="3"/>
      <c r="C752" s="3"/>
    </row>
    <row r="753" customFormat="false" ht="15.75" hidden="false" customHeight="false" outlineLevel="0" collapsed="false">
      <c r="A753" s="4"/>
      <c r="B753" s="3"/>
      <c r="C753" s="3"/>
    </row>
    <row r="754" customFormat="false" ht="15.75" hidden="false" customHeight="false" outlineLevel="0" collapsed="false">
      <c r="A754" s="4"/>
      <c r="B754" s="3"/>
      <c r="C754" s="3"/>
    </row>
    <row r="755" customFormat="false" ht="15.75" hidden="false" customHeight="false" outlineLevel="0" collapsed="false">
      <c r="A755" s="4"/>
      <c r="B755" s="3"/>
      <c r="C755" s="3"/>
    </row>
    <row r="756" customFormat="false" ht="15.75" hidden="false" customHeight="false" outlineLevel="0" collapsed="false">
      <c r="A756" s="4"/>
      <c r="B756" s="3"/>
      <c r="C756" s="3"/>
    </row>
    <row r="757" customFormat="false" ht="15.75" hidden="false" customHeight="false" outlineLevel="0" collapsed="false">
      <c r="A757" s="4"/>
      <c r="B757" s="3"/>
      <c r="C757" s="3"/>
    </row>
    <row r="758" customFormat="false" ht="15.75" hidden="false" customHeight="false" outlineLevel="0" collapsed="false">
      <c r="A758" s="4"/>
      <c r="B758" s="3"/>
      <c r="C758" s="3"/>
    </row>
    <row r="759" customFormat="false" ht="15.75" hidden="false" customHeight="false" outlineLevel="0" collapsed="false">
      <c r="A759" s="4"/>
      <c r="B759" s="3"/>
      <c r="C759" s="3"/>
    </row>
    <row r="760" customFormat="false" ht="15.75" hidden="false" customHeight="false" outlineLevel="0" collapsed="false">
      <c r="A760" s="4"/>
      <c r="B760" s="3"/>
      <c r="C760" s="3"/>
    </row>
    <row r="761" customFormat="false" ht="15.75" hidden="false" customHeight="false" outlineLevel="0" collapsed="false">
      <c r="A761" s="4"/>
      <c r="B761" s="3"/>
      <c r="C761" s="3"/>
    </row>
    <row r="762" customFormat="false" ht="15.75" hidden="false" customHeight="false" outlineLevel="0" collapsed="false">
      <c r="A762" s="4"/>
      <c r="B762" s="3"/>
      <c r="C762" s="3"/>
    </row>
    <row r="763" customFormat="false" ht="15.75" hidden="false" customHeight="false" outlineLevel="0" collapsed="false">
      <c r="A763" s="4"/>
      <c r="B763" s="3"/>
      <c r="C763" s="3"/>
    </row>
    <row r="764" customFormat="false" ht="15.75" hidden="false" customHeight="false" outlineLevel="0" collapsed="false">
      <c r="A764" s="4"/>
      <c r="B764" s="3"/>
      <c r="C764" s="3"/>
    </row>
    <row r="765" customFormat="false" ht="15.75" hidden="false" customHeight="false" outlineLevel="0" collapsed="false">
      <c r="A765" s="4"/>
      <c r="B765" s="3"/>
      <c r="C765" s="3"/>
    </row>
    <row r="766" customFormat="false" ht="15.75" hidden="false" customHeight="false" outlineLevel="0" collapsed="false">
      <c r="A766" s="4"/>
      <c r="B766" s="3"/>
      <c r="C766" s="3"/>
    </row>
    <row r="767" customFormat="false" ht="15.75" hidden="false" customHeight="false" outlineLevel="0" collapsed="false">
      <c r="A767" s="4"/>
      <c r="B767" s="3"/>
      <c r="C767" s="3"/>
    </row>
    <row r="768" customFormat="false" ht="15.75" hidden="false" customHeight="false" outlineLevel="0" collapsed="false">
      <c r="A768" s="4"/>
      <c r="B768" s="3"/>
      <c r="C768" s="3"/>
    </row>
    <row r="769" customFormat="false" ht="15.75" hidden="false" customHeight="false" outlineLevel="0" collapsed="false">
      <c r="A769" s="4"/>
      <c r="B769" s="3"/>
      <c r="C769" s="3"/>
    </row>
    <row r="770" customFormat="false" ht="15.75" hidden="false" customHeight="false" outlineLevel="0" collapsed="false">
      <c r="A770" s="4"/>
      <c r="B770" s="3"/>
      <c r="C770" s="3"/>
    </row>
    <row r="771" customFormat="false" ht="15.75" hidden="false" customHeight="false" outlineLevel="0" collapsed="false">
      <c r="A771" s="4"/>
      <c r="B771" s="3"/>
      <c r="C771" s="3"/>
    </row>
    <row r="772" customFormat="false" ht="15.75" hidden="false" customHeight="false" outlineLevel="0" collapsed="false">
      <c r="A772" s="4"/>
      <c r="B772" s="3"/>
      <c r="C772" s="3"/>
    </row>
    <row r="773" customFormat="false" ht="15.75" hidden="false" customHeight="false" outlineLevel="0" collapsed="false">
      <c r="A773" s="4"/>
      <c r="B773" s="3"/>
      <c r="C773" s="3"/>
    </row>
    <row r="774" customFormat="false" ht="15.75" hidden="false" customHeight="false" outlineLevel="0" collapsed="false">
      <c r="A774" s="4"/>
      <c r="B774" s="3"/>
      <c r="C774" s="3"/>
    </row>
    <row r="775" customFormat="false" ht="15.75" hidden="false" customHeight="false" outlineLevel="0" collapsed="false">
      <c r="A775" s="4"/>
      <c r="B775" s="3"/>
      <c r="C775" s="3"/>
    </row>
    <row r="776" customFormat="false" ht="15.75" hidden="false" customHeight="false" outlineLevel="0" collapsed="false">
      <c r="A776" s="4"/>
      <c r="B776" s="3"/>
      <c r="C776" s="3"/>
    </row>
    <row r="777" customFormat="false" ht="15.75" hidden="false" customHeight="false" outlineLevel="0" collapsed="false">
      <c r="A777" s="4"/>
      <c r="B777" s="3"/>
      <c r="C777" s="3"/>
    </row>
    <row r="778" customFormat="false" ht="15.75" hidden="false" customHeight="false" outlineLevel="0" collapsed="false">
      <c r="A778" s="4"/>
      <c r="B778" s="3"/>
      <c r="C778" s="3"/>
    </row>
    <row r="779" customFormat="false" ht="15.75" hidden="false" customHeight="false" outlineLevel="0" collapsed="false">
      <c r="A779" s="4"/>
      <c r="B779" s="3"/>
      <c r="C779" s="3"/>
    </row>
    <row r="780" customFormat="false" ht="15.75" hidden="false" customHeight="false" outlineLevel="0" collapsed="false">
      <c r="A780" s="4"/>
      <c r="B780" s="3"/>
      <c r="C780" s="3"/>
    </row>
    <row r="781" customFormat="false" ht="15.75" hidden="false" customHeight="false" outlineLevel="0" collapsed="false">
      <c r="A781" s="4"/>
      <c r="B781" s="3"/>
      <c r="C781" s="3"/>
    </row>
    <row r="782" customFormat="false" ht="15.75" hidden="false" customHeight="false" outlineLevel="0" collapsed="false">
      <c r="A782" s="4"/>
      <c r="B782" s="3"/>
      <c r="C782" s="3"/>
    </row>
    <row r="783" customFormat="false" ht="15.75" hidden="false" customHeight="false" outlineLevel="0" collapsed="false">
      <c r="A783" s="4"/>
      <c r="B783" s="3"/>
      <c r="C783" s="3"/>
    </row>
    <row r="784" customFormat="false" ht="15.75" hidden="false" customHeight="false" outlineLevel="0" collapsed="false">
      <c r="A784" s="4"/>
      <c r="B784" s="3"/>
      <c r="C784" s="3"/>
    </row>
    <row r="785" customFormat="false" ht="15.75" hidden="false" customHeight="false" outlineLevel="0" collapsed="false">
      <c r="A785" s="4"/>
      <c r="B785" s="3"/>
      <c r="C785" s="3"/>
    </row>
    <row r="786" customFormat="false" ht="15.75" hidden="false" customHeight="false" outlineLevel="0" collapsed="false">
      <c r="A786" s="4"/>
      <c r="B786" s="3"/>
      <c r="C786" s="3"/>
    </row>
    <row r="787" customFormat="false" ht="15.75" hidden="false" customHeight="false" outlineLevel="0" collapsed="false">
      <c r="A787" s="4"/>
      <c r="B787" s="3"/>
      <c r="C787" s="3"/>
    </row>
    <row r="788" customFormat="false" ht="15.75" hidden="false" customHeight="false" outlineLevel="0" collapsed="false">
      <c r="A788" s="4"/>
      <c r="B788" s="3"/>
      <c r="C788" s="3"/>
    </row>
    <row r="789" customFormat="false" ht="15.75" hidden="false" customHeight="false" outlineLevel="0" collapsed="false">
      <c r="A789" s="4"/>
      <c r="B789" s="3"/>
      <c r="C789" s="3"/>
    </row>
    <row r="790" customFormat="false" ht="15.75" hidden="false" customHeight="false" outlineLevel="0" collapsed="false">
      <c r="A790" s="4"/>
      <c r="B790" s="3"/>
      <c r="C790" s="3"/>
    </row>
    <row r="791" customFormat="false" ht="15.75" hidden="false" customHeight="false" outlineLevel="0" collapsed="false">
      <c r="A791" s="4"/>
      <c r="B791" s="3"/>
      <c r="C791" s="3"/>
    </row>
    <row r="792" customFormat="false" ht="15.75" hidden="false" customHeight="false" outlineLevel="0" collapsed="false">
      <c r="A792" s="4"/>
      <c r="B792" s="3"/>
      <c r="C792" s="3"/>
    </row>
    <row r="793" customFormat="false" ht="15.75" hidden="false" customHeight="false" outlineLevel="0" collapsed="false">
      <c r="A793" s="4"/>
      <c r="B793" s="3"/>
      <c r="C793" s="3"/>
    </row>
    <row r="794" customFormat="false" ht="15.75" hidden="false" customHeight="false" outlineLevel="0" collapsed="false">
      <c r="A794" s="4"/>
      <c r="B794" s="3"/>
      <c r="C794" s="3"/>
    </row>
    <row r="795" customFormat="false" ht="15.75" hidden="false" customHeight="false" outlineLevel="0" collapsed="false">
      <c r="A795" s="4"/>
      <c r="B795" s="3"/>
      <c r="C795" s="3"/>
    </row>
    <row r="796" customFormat="false" ht="15.75" hidden="false" customHeight="false" outlineLevel="0" collapsed="false">
      <c r="A796" s="4"/>
      <c r="B796" s="3"/>
      <c r="C796" s="3"/>
    </row>
    <row r="797" customFormat="false" ht="15.75" hidden="false" customHeight="false" outlineLevel="0" collapsed="false">
      <c r="A797" s="4"/>
      <c r="B797" s="3"/>
      <c r="C797" s="3"/>
    </row>
    <row r="798" customFormat="false" ht="15.75" hidden="false" customHeight="false" outlineLevel="0" collapsed="false">
      <c r="A798" s="4"/>
      <c r="B798" s="3"/>
      <c r="C798" s="3"/>
    </row>
    <row r="799" customFormat="false" ht="15.75" hidden="false" customHeight="false" outlineLevel="0" collapsed="false">
      <c r="A799" s="4"/>
      <c r="B799" s="3"/>
      <c r="C799" s="3"/>
    </row>
    <row r="800" customFormat="false" ht="15.75" hidden="false" customHeight="false" outlineLevel="0" collapsed="false">
      <c r="A800" s="4"/>
      <c r="B800" s="3"/>
      <c r="C800" s="3"/>
    </row>
    <row r="801" customFormat="false" ht="15.75" hidden="false" customHeight="false" outlineLevel="0" collapsed="false">
      <c r="A801" s="4"/>
      <c r="B801" s="3"/>
      <c r="C801" s="3"/>
    </row>
    <row r="802" customFormat="false" ht="15.75" hidden="false" customHeight="false" outlineLevel="0" collapsed="false">
      <c r="A802" s="4"/>
      <c r="B802" s="3"/>
      <c r="C802" s="3"/>
    </row>
    <row r="803" customFormat="false" ht="15.75" hidden="false" customHeight="false" outlineLevel="0" collapsed="false">
      <c r="A803" s="4"/>
      <c r="B803" s="3"/>
      <c r="C803" s="3"/>
    </row>
    <row r="804" customFormat="false" ht="15.75" hidden="false" customHeight="false" outlineLevel="0" collapsed="false">
      <c r="A804" s="4"/>
      <c r="B804" s="3"/>
      <c r="C804" s="3"/>
    </row>
    <row r="805" customFormat="false" ht="15.75" hidden="false" customHeight="false" outlineLevel="0" collapsed="false">
      <c r="A805" s="4"/>
      <c r="B805" s="3"/>
      <c r="C805" s="3"/>
    </row>
    <row r="806" customFormat="false" ht="15.75" hidden="false" customHeight="false" outlineLevel="0" collapsed="false">
      <c r="A806" s="4"/>
      <c r="B806" s="3"/>
      <c r="C806" s="3"/>
    </row>
    <row r="807" customFormat="false" ht="15.75" hidden="false" customHeight="false" outlineLevel="0" collapsed="false">
      <c r="A807" s="4"/>
      <c r="B807" s="3"/>
      <c r="C807" s="3"/>
    </row>
    <row r="808" customFormat="false" ht="15.75" hidden="false" customHeight="false" outlineLevel="0" collapsed="false">
      <c r="A808" s="4"/>
      <c r="B808" s="3"/>
      <c r="C808" s="3"/>
    </row>
    <row r="809" customFormat="false" ht="15.75" hidden="false" customHeight="false" outlineLevel="0" collapsed="false">
      <c r="A809" s="4"/>
      <c r="B809" s="3"/>
      <c r="C809" s="3"/>
    </row>
    <row r="810" customFormat="false" ht="15.75" hidden="false" customHeight="false" outlineLevel="0" collapsed="false">
      <c r="A810" s="4"/>
      <c r="B810" s="3"/>
      <c r="C810" s="3"/>
    </row>
    <row r="811" customFormat="false" ht="15.75" hidden="false" customHeight="false" outlineLevel="0" collapsed="false">
      <c r="A811" s="4"/>
      <c r="B811" s="3"/>
      <c r="C811" s="3"/>
    </row>
    <row r="812" customFormat="false" ht="15.75" hidden="false" customHeight="false" outlineLevel="0" collapsed="false">
      <c r="A812" s="4"/>
      <c r="B812" s="3"/>
      <c r="C812" s="3"/>
    </row>
    <row r="813" customFormat="false" ht="15.75" hidden="false" customHeight="false" outlineLevel="0" collapsed="false">
      <c r="A813" s="4"/>
      <c r="B813" s="3"/>
      <c r="C813" s="3"/>
    </row>
    <row r="814" customFormat="false" ht="15.75" hidden="false" customHeight="false" outlineLevel="0" collapsed="false">
      <c r="A814" s="4"/>
      <c r="B814" s="3"/>
      <c r="C814" s="3"/>
    </row>
    <row r="815" customFormat="false" ht="15.75" hidden="false" customHeight="false" outlineLevel="0" collapsed="false">
      <c r="A815" s="4"/>
      <c r="B815" s="3"/>
      <c r="C815" s="3"/>
    </row>
    <row r="816" customFormat="false" ht="15.75" hidden="false" customHeight="false" outlineLevel="0" collapsed="false">
      <c r="A816" s="4"/>
      <c r="B816" s="3"/>
      <c r="C816" s="3"/>
    </row>
    <row r="817" customFormat="false" ht="15.75" hidden="false" customHeight="false" outlineLevel="0" collapsed="false">
      <c r="A817" s="4"/>
      <c r="B817" s="3"/>
      <c r="C817" s="3"/>
    </row>
    <row r="818" customFormat="false" ht="15.75" hidden="false" customHeight="false" outlineLevel="0" collapsed="false">
      <c r="A818" s="4"/>
      <c r="B818" s="3"/>
      <c r="C818" s="3"/>
    </row>
    <row r="819" customFormat="false" ht="15.75" hidden="false" customHeight="false" outlineLevel="0" collapsed="false">
      <c r="A819" s="4"/>
      <c r="B819" s="3"/>
      <c r="C819" s="3"/>
    </row>
    <row r="820" customFormat="false" ht="15.75" hidden="false" customHeight="false" outlineLevel="0" collapsed="false">
      <c r="A820" s="4"/>
      <c r="B820" s="3"/>
      <c r="C820" s="3"/>
    </row>
    <row r="821" customFormat="false" ht="15.75" hidden="false" customHeight="false" outlineLevel="0" collapsed="false">
      <c r="A821" s="4"/>
      <c r="B821" s="3"/>
      <c r="C821" s="3"/>
    </row>
    <row r="822" customFormat="false" ht="15.75" hidden="false" customHeight="false" outlineLevel="0" collapsed="false">
      <c r="A822" s="4"/>
      <c r="B822" s="3"/>
      <c r="C822" s="3"/>
    </row>
    <row r="823" customFormat="false" ht="15.75" hidden="false" customHeight="false" outlineLevel="0" collapsed="false">
      <c r="A823" s="4"/>
      <c r="B823" s="3"/>
      <c r="C823" s="3"/>
    </row>
    <row r="824" customFormat="false" ht="15.75" hidden="false" customHeight="false" outlineLevel="0" collapsed="false">
      <c r="A824" s="4"/>
      <c r="B824" s="3"/>
      <c r="C824" s="3"/>
    </row>
    <row r="825" customFormat="false" ht="15.75" hidden="false" customHeight="false" outlineLevel="0" collapsed="false">
      <c r="A825" s="4"/>
      <c r="B825" s="3"/>
      <c r="C825" s="3"/>
    </row>
    <row r="826" customFormat="false" ht="15.75" hidden="false" customHeight="false" outlineLevel="0" collapsed="false">
      <c r="A826" s="4"/>
      <c r="B826" s="3"/>
      <c r="C826" s="3"/>
    </row>
    <row r="827" customFormat="false" ht="15.75" hidden="false" customHeight="false" outlineLevel="0" collapsed="false">
      <c r="A827" s="4"/>
      <c r="B827" s="3"/>
      <c r="C827" s="3"/>
    </row>
    <row r="828" customFormat="false" ht="15.75" hidden="false" customHeight="false" outlineLevel="0" collapsed="false">
      <c r="A828" s="4"/>
      <c r="B828" s="3"/>
      <c r="C828" s="3"/>
    </row>
    <row r="829" customFormat="false" ht="15.75" hidden="false" customHeight="false" outlineLevel="0" collapsed="false">
      <c r="A829" s="4"/>
      <c r="B829" s="3"/>
      <c r="C829" s="3"/>
    </row>
    <row r="830" customFormat="false" ht="15.75" hidden="false" customHeight="false" outlineLevel="0" collapsed="false">
      <c r="A830" s="4"/>
      <c r="B830" s="3"/>
      <c r="C830" s="3"/>
    </row>
    <row r="831" customFormat="false" ht="15.75" hidden="false" customHeight="false" outlineLevel="0" collapsed="false">
      <c r="A831" s="4"/>
      <c r="B831" s="3"/>
      <c r="C831" s="3"/>
    </row>
    <row r="832" customFormat="false" ht="15.75" hidden="false" customHeight="false" outlineLevel="0" collapsed="false">
      <c r="A832" s="4"/>
      <c r="B832" s="3"/>
      <c r="C832" s="3"/>
    </row>
    <row r="833" customFormat="false" ht="15.75" hidden="false" customHeight="false" outlineLevel="0" collapsed="false">
      <c r="A833" s="4"/>
      <c r="B833" s="3"/>
      <c r="C833" s="3"/>
    </row>
    <row r="834" customFormat="false" ht="15.75" hidden="false" customHeight="false" outlineLevel="0" collapsed="false">
      <c r="A834" s="4"/>
      <c r="B834" s="3"/>
      <c r="C834" s="3"/>
    </row>
    <row r="835" customFormat="false" ht="15.75" hidden="false" customHeight="false" outlineLevel="0" collapsed="false">
      <c r="A835" s="4"/>
      <c r="B835" s="3"/>
      <c r="C835" s="3"/>
    </row>
    <row r="836" customFormat="false" ht="15.75" hidden="false" customHeight="false" outlineLevel="0" collapsed="false">
      <c r="A836" s="4"/>
      <c r="B836" s="3"/>
      <c r="C836" s="3"/>
    </row>
    <row r="837" customFormat="false" ht="15.75" hidden="false" customHeight="false" outlineLevel="0" collapsed="false">
      <c r="A837" s="4"/>
      <c r="B837" s="3"/>
      <c r="C837" s="3"/>
    </row>
    <row r="838" customFormat="false" ht="15.75" hidden="false" customHeight="false" outlineLevel="0" collapsed="false">
      <c r="A838" s="4"/>
      <c r="B838" s="3"/>
      <c r="C838" s="3"/>
    </row>
    <row r="839" customFormat="false" ht="15.75" hidden="false" customHeight="false" outlineLevel="0" collapsed="false">
      <c r="A839" s="4"/>
      <c r="B839" s="3"/>
      <c r="C839" s="3"/>
    </row>
    <row r="840" customFormat="false" ht="15.75" hidden="false" customHeight="false" outlineLevel="0" collapsed="false">
      <c r="A840" s="4"/>
      <c r="B840" s="3"/>
      <c r="C840" s="3"/>
    </row>
    <row r="841" customFormat="false" ht="15.75" hidden="false" customHeight="false" outlineLevel="0" collapsed="false">
      <c r="A841" s="4"/>
      <c r="B841" s="3"/>
      <c r="C841" s="3"/>
    </row>
    <row r="842" customFormat="false" ht="15.75" hidden="false" customHeight="false" outlineLevel="0" collapsed="false">
      <c r="A842" s="4"/>
      <c r="B842" s="3"/>
      <c r="C842" s="3"/>
    </row>
    <row r="843" customFormat="false" ht="15.75" hidden="false" customHeight="false" outlineLevel="0" collapsed="false">
      <c r="A843" s="4"/>
      <c r="B843" s="3"/>
      <c r="C843" s="3"/>
    </row>
    <row r="844" customFormat="false" ht="15.75" hidden="false" customHeight="false" outlineLevel="0" collapsed="false">
      <c r="A844" s="4"/>
      <c r="B844" s="3"/>
      <c r="C844" s="3"/>
    </row>
    <row r="845" customFormat="false" ht="15.75" hidden="false" customHeight="false" outlineLevel="0" collapsed="false">
      <c r="A845" s="4"/>
      <c r="B845" s="3"/>
      <c r="C845" s="3"/>
    </row>
    <row r="846" customFormat="false" ht="15.75" hidden="false" customHeight="false" outlineLevel="0" collapsed="false">
      <c r="A846" s="4"/>
      <c r="B846" s="3"/>
      <c r="C846" s="3"/>
    </row>
    <row r="847" customFormat="false" ht="15.75" hidden="false" customHeight="false" outlineLevel="0" collapsed="false">
      <c r="A847" s="4"/>
      <c r="B847" s="3"/>
      <c r="C847" s="3"/>
    </row>
    <row r="848" customFormat="false" ht="15.75" hidden="false" customHeight="false" outlineLevel="0" collapsed="false">
      <c r="A848" s="4"/>
      <c r="B848" s="3"/>
      <c r="C848" s="3"/>
    </row>
    <row r="849" customFormat="false" ht="15.75" hidden="false" customHeight="false" outlineLevel="0" collapsed="false">
      <c r="A849" s="4"/>
      <c r="B849" s="3"/>
      <c r="C849" s="3"/>
    </row>
    <row r="850" customFormat="false" ht="15.75" hidden="false" customHeight="false" outlineLevel="0" collapsed="false">
      <c r="A850" s="4"/>
      <c r="B850" s="3"/>
      <c r="C850" s="3"/>
    </row>
    <row r="851" customFormat="false" ht="15.75" hidden="false" customHeight="false" outlineLevel="0" collapsed="false">
      <c r="A851" s="4"/>
      <c r="B851" s="3"/>
      <c r="C851" s="3"/>
    </row>
    <row r="852" customFormat="false" ht="15.75" hidden="false" customHeight="false" outlineLevel="0" collapsed="false">
      <c r="A852" s="4"/>
      <c r="B852" s="3"/>
      <c r="C852" s="3"/>
    </row>
    <row r="853" customFormat="false" ht="15.75" hidden="false" customHeight="false" outlineLevel="0" collapsed="false">
      <c r="A853" s="4"/>
      <c r="B853" s="3"/>
      <c r="C853" s="3"/>
    </row>
    <row r="854" customFormat="false" ht="15.75" hidden="false" customHeight="false" outlineLevel="0" collapsed="false">
      <c r="A854" s="4"/>
      <c r="B854" s="3"/>
      <c r="C854" s="3"/>
    </row>
    <row r="855" customFormat="false" ht="15.75" hidden="false" customHeight="false" outlineLevel="0" collapsed="false">
      <c r="A855" s="4"/>
      <c r="B855" s="3"/>
      <c r="C855" s="3"/>
    </row>
    <row r="856" customFormat="false" ht="15.75" hidden="false" customHeight="false" outlineLevel="0" collapsed="false">
      <c r="A856" s="4"/>
      <c r="B856" s="3"/>
      <c r="C856" s="3"/>
    </row>
    <row r="857" customFormat="false" ht="15.75" hidden="false" customHeight="false" outlineLevel="0" collapsed="false">
      <c r="A857" s="4"/>
      <c r="B857" s="3"/>
      <c r="C857" s="3"/>
    </row>
    <row r="858" customFormat="false" ht="15.75" hidden="false" customHeight="false" outlineLevel="0" collapsed="false">
      <c r="A858" s="4"/>
      <c r="B858" s="3"/>
      <c r="C858" s="3"/>
    </row>
    <row r="859" customFormat="false" ht="15.75" hidden="false" customHeight="false" outlineLevel="0" collapsed="false">
      <c r="A859" s="4"/>
      <c r="B859" s="3"/>
      <c r="C859" s="3"/>
    </row>
    <row r="860" customFormat="false" ht="15.75" hidden="false" customHeight="false" outlineLevel="0" collapsed="false">
      <c r="A860" s="4"/>
      <c r="B860" s="3"/>
      <c r="C860" s="3"/>
    </row>
    <row r="861" customFormat="false" ht="15.75" hidden="false" customHeight="false" outlineLevel="0" collapsed="false">
      <c r="A861" s="4"/>
      <c r="B861" s="3"/>
      <c r="C861" s="3"/>
    </row>
    <row r="862" customFormat="false" ht="15.75" hidden="false" customHeight="false" outlineLevel="0" collapsed="false">
      <c r="A862" s="4"/>
      <c r="B862" s="3"/>
      <c r="C862" s="3"/>
    </row>
    <row r="863" customFormat="false" ht="15.75" hidden="false" customHeight="false" outlineLevel="0" collapsed="false">
      <c r="A863" s="4"/>
      <c r="B863" s="3"/>
      <c r="C863" s="3"/>
    </row>
    <row r="864" customFormat="false" ht="15.75" hidden="false" customHeight="false" outlineLevel="0" collapsed="false">
      <c r="A864" s="4"/>
      <c r="B864" s="3"/>
      <c r="C864" s="3"/>
    </row>
    <row r="865" customFormat="false" ht="15.75" hidden="false" customHeight="false" outlineLevel="0" collapsed="false">
      <c r="A865" s="4"/>
      <c r="B865" s="3"/>
      <c r="C865" s="3"/>
    </row>
    <row r="866" customFormat="false" ht="15.75" hidden="false" customHeight="false" outlineLevel="0" collapsed="false">
      <c r="A866" s="4"/>
      <c r="B866" s="3"/>
      <c r="C866" s="3"/>
    </row>
    <row r="867" customFormat="false" ht="15.75" hidden="false" customHeight="false" outlineLevel="0" collapsed="false">
      <c r="A867" s="4"/>
      <c r="B867" s="3"/>
      <c r="C867" s="3"/>
    </row>
    <row r="868" customFormat="false" ht="15.75" hidden="false" customHeight="false" outlineLevel="0" collapsed="false">
      <c r="A868" s="4"/>
      <c r="B868" s="3"/>
      <c r="C868" s="3"/>
    </row>
    <row r="869" customFormat="false" ht="15.75" hidden="false" customHeight="false" outlineLevel="0" collapsed="false">
      <c r="A869" s="4"/>
      <c r="B869" s="3"/>
      <c r="C869" s="3"/>
    </row>
    <row r="870" customFormat="false" ht="15.75" hidden="false" customHeight="false" outlineLevel="0" collapsed="false">
      <c r="A870" s="4"/>
      <c r="B870" s="3"/>
      <c r="C870" s="3"/>
    </row>
    <row r="871" customFormat="false" ht="15.75" hidden="false" customHeight="false" outlineLevel="0" collapsed="false">
      <c r="A871" s="4"/>
      <c r="B871" s="3"/>
      <c r="C871" s="3"/>
    </row>
    <row r="872" customFormat="false" ht="15.75" hidden="false" customHeight="false" outlineLevel="0" collapsed="false">
      <c r="A872" s="4"/>
      <c r="B872" s="3"/>
      <c r="C872" s="3"/>
    </row>
    <row r="873" customFormat="false" ht="15.75" hidden="false" customHeight="false" outlineLevel="0" collapsed="false">
      <c r="A873" s="4"/>
      <c r="B873" s="3"/>
      <c r="C873" s="3"/>
    </row>
    <row r="874" customFormat="false" ht="15.75" hidden="false" customHeight="false" outlineLevel="0" collapsed="false">
      <c r="A874" s="4"/>
      <c r="B874" s="3"/>
      <c r="C874" s="3"/>
    </row>
    <row r="875" customFormat="false" ht="15.75" hidden="false" customHeight="false" outlineLevel="0" collapsed="false">
      <c r="A875" s="4"/>
      <c r="B875" s="3"/>
      <c r="C875" s="3"/>
    </row>
    <row r="876" customFormat="false" ht="15.75" hidden="false" customHeight="false" outlineLevel="0" collapsed="false">
      <c r="A876" s="4"/>
      <c r="B876" s="3"/>
      <c r="C876" s="3"/>
    </row>
    <row r="877" customFormat="false" ht="15.75" hidden="false" customHeight="false" outlineLevel="0" collapsed="false">
      <c r="A877" s="4"/>
      <c r="B877" s="3"/>
      <c r="C877" s="3"/>
    </row>
    <row r="878" customFormat="false" ht="15.75" hidden="false" customHeight="false" outlineLevel="0" collapsed="false">
      <c r="A878" s="4"/>
      <c r="B878" s="3"/>
      <c r="C878" s="3"/>
    </row>
    <row r="879" customFormat="false" ht="15.75" hidden="false" customHeight="false" outlineLevel="0" collapsed="false">
      <c r="A879" s="4"/>
      <c r="B879" s="3"/>
      <c r="C879" s="3"/>
    </row>
    <row r="880" customFormat="false" ht="15.75" hidden="false" customHeight="false" outlineLevel="0" collapsed="false">
      <c r="A880" s="4"/>
      <c r="B880" s="3"/>
      <c r="C880" s="3"/>
    </row>
    <row r="881" customFormat="false" ht="15.75" hidden="false" customHeight="false" outlineLevel="0" collapsed="false">
      <c r="A881" s="4"/>
      <c r="B881" s="3"/>
      <c r="C881" s="3"/>
    </row>
    <row r="882" customFormat="false" ht="15.75" hidden="false" customHeight="false" outlineLevel="0" collapsed="false">
      <c r="A882" s="4"/>
      <c r="B882" s="3"/>
      <c r="C882" s="3"/>
    </row>
    <row r="883" customFormat="false" ht="15.75" hidden="false" customHeight="false" outlineLevel="0" collapsed="false">
      <c r="A883" s="4"/>
      <c r="B883" s="3"/>
      <c r="C883" s="3"/>
    </row>
    <row r="884" customFormat="false" ht="15.75" hidden="false" customHeight="false" outlineLevel="0" collapsed="false">
      <c r="A884" s="4"/>
      <c r="B884" s="3"/>
      <c r="C884" s="3"/>
    </row>
    <row r="885" customFormat="false" ht="15.75" hidden="false" customHeight="false" outlineLevel="0" collapsed="false">
      <c r="A885" s="4"/>
      <c r="B885" s="3"/>
      <c r="C885" s="3"/>
    </row>
    <row r="886" customFormat="false" ht="15.75" hidden="false" customHeight="false" outlineLevel="0" collapsed="false">
      <c r="A886" s="4"/>
      <c r="B886" s="3"/>
      <c r="C886" s="3"/>
    </row>
    <row r="887" customFormat="false" ht="15.75" hidden="false" customHeight="false" outlineLevel="0" collapsed="false">
      <c r="A887" s="4"/>
      <c r="B887" s="3"/>
      <c r="C887" s="3"/>
    </row>
    <row r="888" customFormat="false" ht="15.75" hidden="false" customHeight="false" outlineLevel="0" collapsed="false">
      <c r="A888" s="4"/>
      <c r="B888" s="3"/>
      <c r="C888" s="3"/>
    </row>
    <row r="889" customFormat="false" ht="15.75" hidden="false" customHeight="false" outlineLevel="0" collapsed="false">
      <c r="A889" s="4"/>
      <c r="B889" s="3"/>
      <c r="C889" s="3"/>
    </row>
    <row r="890" customFormat="false" ht="15.75" hidden="false" customHeight="false" outlineLevel="0" collapsed="false">
      <c r="A890" s="4"/>
      <c r="B890" s="3"/>
      <c r="C890" s="3"/>
    </row>
    <row r="891" customFormat="false" ht="15.75" hidden="false" customHeight="false" outlineLevel="0" collapsed="false">
      <c r="A891" s="4"/>
      <c r="B891" s="3"/>
      <c r="C891" s="3"/>
    </row>
    <row r="892" customFormat="false" ht="15.75" hidden="false" customHeight="false" outlineLevel="0" collapsed="false">
      <c r="A892" s="4"/>
      <c r="B892" s="3"/>
      <c r="C892" s="3"/>
    </row>
    <row r="893" customFormat="false" ht="15.75" hidden="false" customHeight="false" outlineLevel="0" collapsed="false">
      <c r="A893" s="4"/>
      <c r="B893" s="3"/>
      <c r="C893" s="3"/>
    </row>
    <row r="894" customFormat="false" ht="15.75" hidden="false" customHeight="false" outlineLevel="0" collapsed="false">
      <c r="A894" s="4"/>
      <c r="B894" s="3"/>
      <c r="C894" s="3"/>
    </row>
    <row r="895" customFormat="false" ht="15.75" hidden="false" customHeight="false" outlineLevel="0" collapsed="false">
      <c r="A895" s="4"/>
      <c r="B895" s="3"/>
      <c r="C895" s="3"/>
    </row>
    <row r="896" customFormat="false" ht="15.75" hidden="false" customHeight="false" outlineLevel="0" collapsed="false">
      <c r="A896" s="4"/>
      <c r="B896" s="3"/>
      <c r="C896" s="3"/>
    </row>
    <row r="897" customFormat="false" ht="15.75" hidden="false" customHeight="false" outlineLevel="0" collapsed="false">
      <c r="A897" s="4"/>
      <c r="B897" s="3"/>
      <c r="C897" s="3"/>
    </row>
    <row r="898" customFormat="false" ht="15.75" hidden="false" customHeight="false" outlineLevel="0" collapsed="false">
      <c r="A898" s="4"/>
      <c r="B898" s="3"/>
      <c r="C898" s="3"/>
    </row>
    <row r="899" customFormat="false" ht="15.75" hidden="false" customHeight="false" outlineLevel="0" collapsed="false">
      <c r="A899" s="4"/>
      <c r="B899" s="3"/>
      <c r="C899" s="3"/>
    </row>
    <row r="900" customFormat="false" ht="15.75" hidden="false" customHeight="false" outlineLevel="0" collapsed="false">
      <c r="A900" s="4"/>
      <c r="B900" s="3"/>
      <c r="C900" s="3"/>
    </row>
    <row r="901" customFormat="false" ht="15.75" hidden="false" customHeight="false" outlineLevel="0" collapsed="false">
      <c r="A901" s="4"/>
      <c r="B901" s="3"/>
      <c r="C901" s="3"/>
    </row>
    <row r="902" customFormat="false" ht="15.75" hidden="false" customHeight="false" outlineLevel="0" collapsed="false">
      <c r="A902" s="4"/>
      <c r="B902" s="3"/>
      <c r="C902" s="3"/>
    </row>
    <row r="903" customFormat="false" ht="15.75" hidden="false" customHeight="false" outlineLevel="0" collapsed="false">
      <c r="A903" s="4"/>
      <c r="B903" s="3"/>
      <c r="C903" s="3"/>
    </row>
    <row r="904" customFormat="false" ht="15.75" hidden="false" customHeight="false" outlineLevel="0" collapsed="false">
      <c r="A904" s="4"/>
      <c r="B904" s="3"/>
      <c r="C904" s="3"/>
    </row>
    <row r="905" customFormat="false" ht="15.75" hidden="false" customHeight="false" outlineLevel="0" collapsed="false">
      <c r="A905" s="4"/>
      <c r="B905" s="3"/>
      <c r="C905" s="3"/>
    </row>
    <row r="906" customFormat="false" ht="15.75" hidden="false" customHeight="false" outlineLevel="0" collapsed="false">
      <c r="A906" s="4"/>
      <c r="B906" s="3"/>
      <c r="C906" s="3"/>
    </row>
    <row r="907" customFormat="false" ht="15.75" hidden="false" customHeight="false" outlineLevel="0" collapsed="false">
      <c r="A907" s="4"/>
      <c r="B907" s="3"/>
      <c r="C907" s="3"/>
    </row>
    <row r="908" customFormat="false" ht="15.75" hidden="false" customHeight="false" outlineLevel="0" collapsed="false">
      <c r="A908" s="4"/>
      <c r="B908" s="3"/>
      <c r="C908" s="3"/>
    </row>
    <row r="909" customFormat="false" ht="15.75" hidden="false" customHeight="false" outlineLevel="0" collapsed="false">
      <c r="A909" s="4"/>
      <c r="B909" s="3"/>
      <c r="C909" s="3"/>
    </row>
    <row r="910" customFormat="false" ht="15.75" hidden="false" customHeight="false" outlineLevel="0" collapsed="false">
      <c r="A910" s="4"/>
      <c r="B910" s="3"/>
      <c r="C910" s="3"/>
    </row>
    <row r="911" customFormat="false" ht="15.75" hidden="false" customHeight="false" outlineLevel="0" collapsed="false">
      <c r="A911" s="4"/>
      <c r="B911" s="3"/>
      <c r="C911" s="3"/>
    </row>
    <row r="912" customFormat="false" ht="15.75" hidden="false" customHeight="false" outlineLevel="0" collapsed="false">
      <c r="A912" s="4"/>
      <c r="B912" s="3"/>
      <c r="C912" s="3"/>
    </row>
    <row r="913" customFormat="false" ht="15.75" hidden="false" customHeight="false" outlineLevel="0" collapsed="false">
      <c r="A913" s="4"/>
      <c r="B913" s="3"/>
      <c r="C913" s="3"/>
    </row>
    <row r="914" customFormat="false" ht="15.75" hidden="false" customHeight="false" outlineLevel="0" collapsed="false">
      <c r="A914" s="4"/>
      <c r="B914" s="3"/>
      <c r="C914" s="3"/>
    </row>
    <row r="915" customFormat="false" ht="15.75" hidden="false" customHeight="false" outlineLevel="0" collapsed="false">
      <c r="A915" s="4"/>
      <c r="B915" s="3"/>
      <c r="C915" s="3"/>
    </row>
    <row r="916" customFormat="false" ht="15.75" hidden="false" customHeight="false" outlineLevel="0" collapsed="false">
      <c r="A916" s="4"/>
      <c r="B916" s="3"/>
      <c r="C916" s="3"/>
    </row>
    <row r="917" customFormat="false" ht="15.75" hidden="false" customHeight="false" outlineLevel="0" collapsed="false">
      <c r="A917" s="4"/>
      <c r="B917" s="3"/>
      <c r="C917" s="3"/>
    </row>
    <row r="918" customFormat="false" ht="15.75" hidden="false" customHeight="false" outlineLevel="0" collapsed="false">
      <c r="A918" s="4"/>
      <c r="B918" s="3"/>
      <c r="C918" s="3"/>
    </row>
    <row r="919" customFormat="false" ht="15.75" hidden="false" customHeight="false" outlineLevel="0" collapsed="false">
      <c r="A919" s="4"/>
      <c r="B919" s="3"/>
      <c r="C919" s="3"/>
    </row>
    <row r="920" customFormat="false" ht="15.75" hidden="false" customHeight="false" outlineLevel="0" collapsed="false">
      <c r="A920" s="4"/>
      <c r="B920" s="3"/>
      <c r="C920" s="3"/>
    </row>
    <row r="921" customFormat="false" ht="15.75" hidden="false" customHeight="false" outlineLevel="0" collapsed="false">
      <c r="A921" s="4"/>
      <c r="B921" s="3"/>
      <c r="C921" s="3"/>
    </row>
    <row r="922" customFormat="false" ht="15.75" hidden="false" customHeight="false" outlineLevel="0" collapsed="false">
      <c r="A922" s="4"/>
      <c r="B922" s="3"/>
      <c r="C922" s="3"/>
    </row>
    <row r="923" customFormat="false" ht="15.75" hidden="false" customHeight="false" outlineLevel="0" collapsed="false">
      <c r="A923" s="4"/>
      <c r="B923" s="3"/>
      <c r="C923" s="3"/>
    </row>
    <row r="924" customFormat="false" ht="15.75" hidden="false" customHeight="false" outlineLevel="0" collapsed="false">
      <c r="A924" s="4"/>
      <c r="B924" s="3"/>
      <c r="C924" s="3"/>
    </row>
    <row r="925" customFormat="false" ht="15.75" hidden="false" customHeight="false" outlineLevel="0" collapsed="false">
      <c r="A925" s="4"/>
      <c r="B925" s="3"/>
      <c r="C925" s="3"/>
    </row>
    <row r="926" customFormat="false" ht="15.75" hidden="false" customHeight="false" outlineLevel="0" collapsed="false">
      <c r="A926" s="4"/>
      <c r="B926" s="3"/>
      <c r="C926" s="3"/>
    </row>
    <row r="927" customFormat="false" ht="15.75" hidden="false" customHeight="false" outlineLevel="0" collapsed="false">
      <c r="B927" s="3"/>
      <c r="C927" s="3"/>
    </row>
    <row r="928" customFormat="false" ht="15.75" hidden="false" customHeight="false" outlineLevel="0" collapsed="false">
      <c r="B928" s="3"/>
      <c r="C928" s="3"/>
    </row>
    <row r="929" customFormat="false" ht="15.75" hidden="false" customHeight="false" outlineLevel="0" collapsed="false">
      <c r="B929" s="3"/>
      <c r="C929" s="3"/>
    </row>
    <row r="930" customFormat="false" ht="15.75" hidden="false" customHeight="false" outlineLevel="0" collapsed="false">
      <c r="B930" s="3"/>
      <c r="C930" s="3"/>
    </row>
    <row r="931" customFormat="false" ht="15.75" hidden="false" customHeight="false" outlineLevel="0" collapsed="false">
      <c r="B931" s="3"/>
      <c r="C931" s="3"/>
    </row>
    <row r="932" customFormat="false" ht="15.75" hidden="false" customHeight="false" outlineLevel="0" collapsed="false">
      <c r="B932" s="3"/>
      <c r="C932" s="3"/>
    </row>
    <row r="933" customFormat="false" ht="15.75" hidden="false" customHeight="false" outlineLevel="0" collapsed="false">
      <c r="B933" s="3"/>
      <c r="C933" s="3"/>
    </row>
    <row r="934" customFormat="false" ht="15.75" hidden="false" customHeight="false" outlineLevel="0" collapsed="false">
      <c r="B934" s="3"/>
      <c r="C934" s="3"/>
    </row>
    <row r="935" customFormat="false" ht="15.75" hidden="false" customHeight="false" outlineLevel="0" collapsed="false">
      <c r="B935" s="3"/>
      <c r="C935" s="3"/>
    </row>
    <row r="936" customFormat="false" ht="15.75" hidden="false" customHeight="false" outlineLevel="0" collapsed="false">
      <c r="B936" s="3"/>
      <c r="C936" s="3"/>
    </row>
    <row r="937" customFormat="false" ht="15.75" hidden="false" customHeight="false" outlineLevel="0" collapsed="false">
      <c r="B937" s="3"/>
      <c r="C937" s="3"/>
    </row>
    <row r="938" customFormat="false" ht="15.75" hidden="false" customHeight="false" outlineLevel="0" collapsed="false">
      <c r="B938" s="3"/>
      <c r="C938" s="3"/>
    </row>
    <row r="939" customFormat="false" ht="15.75" hidden="false" customHeight="false" outlineLevel="0" collapsed="false">
      <c r="B939" s="3"/>
      <c r="C939" s="3"/>
    </row>
    <row r="940" customFormat="false" ht="15.75" hidden="false" customHeight="false" outlineLevel="0" collapsed="false">
      <c r="B940" s="3"/>
      <c r="C940" s="3"/>
    </row>
    <row r="941" customFormat="false" ht="15.75" hidden="false" customHeight="false" outlineLevel="0" collapsed="false">
      <c r="B941" s="3"/>
      <c r="C941" s="3"/>
    </row>
    <row r="942" customFormat="false" ht="15.75" hidden="false" customHeight="false" outlineLevel="0" collapsed="false">
      <c r="B942" s="3"/>
      <c r="C942" s="3"/>
    </row>
    <row r="943" customFormat="false" ht="15.75" hidden="false" customHeight="false" outlineLevel="0" collapsed="false">
      <c r="B943" s="3"/>
      <c r="C943" s="3"/>
    </row>
    <row r="944" customFormat="false" ht="15.75" hidden="false" customHeight="false" outlineLevel="0" collapsed="false">
      <c r="B944" s="3"/>
      <c r="C944" s="3"/>
    </row>
    <row r="945" customFormat="false" ht="15.75" hidden="false" customHeight="false" outlineLevel="0" collapsed="false">
      <c r="B945" s="3"/>
      <c r="C945" s="3"/>
    </row>
    <row r="946" customFormat="false" ht="15.75" hidden="false" customHeight="false" outlineLevel="0" collapsed="false">
      <c r="B946" s="3"/>
      <c r="C946" s="3"/>
    </row>
    <row r="947" customFormat="false" ht="15.75" hidden="false" customHeight="false" outlineLevel="0" collapsed="false">
      <c r="B947" s="3"/>
      <c r="C947" s="3"/>
    </row>
    <row r="948" customFormat="false" ht="15.75" hidden="false" customHeight="false" outlineLevel="0" collapsed="false">
      <c r="B948" s="3"/>
      <c r="C948" s="3"/>
    </row>
    <row r="949" customFormat="false" ht="15.75" hidden="false" customHeight="false" outlineLevel="0" collapsed="false">
      <c r="B949" s="3"/>
      <c r="C949" s="3"/>
    </row>
    <row r="950" customFormat="false" ht="15.75" hidden="false" customHeight="false" outlineLevel="0" collapsed="false">
      <c r="B950" s="3"/>
      <c r="C950" s="3"/>
    </row>
    <row r="951" customFormat="false" ht="15.75" hidden="false" customHeight="false" outlineLevel="0" collapsed="false">
      <c r="B951" s="3"/>
      <c r="C951" s="3"/>
    </row>
    <row r="952" customFormat="false" ht="15.75" hidden="false" customHeight="false" outlineLevel="0" collapsed="false">
      <c r="B952" s="3"/>
      <c r="C952" s="3"/>
    </row>
    <row r="953" customFormat="false" ht="15.75" hidden="false" customHeight="false" outlineLevel="0" collapsed="false">
      <c r="B953" s="3"/>
      <c r="C953" s="3"/>
    </row>
    <row r="954" customFormat="false" ht="15.75" hidden="false" customHeight="false" outlineLevel="0" collapsed="false">
      <c r="B954" s="3"/>
      <c r="C954" s="3"/>
    </row>
    <row r="955" customFormat="false" ht="15.75" hidden="false" customHeight="false" outlineLevel="0" collapsed="false">
      <c r="B955" s="3"/>
      <c r="C955" s="3"/>
    </row>
    <row r="956" customFormat="false" ht="15.75" hidden="false" customHeight="false" outlineLevel="0" collapsed="false">
      <c r="B956" s="3"/>
      <c r="C956" s="3"/>
    </row>
    <row r="957" customFormat="false" ht="15.75" hidden="false" customHeight="false" outlineLevel="0" collapsed="false">
      <c r="B957" s="3"/>
      <c r="C957" s="3"/>
    </row>
    <row r="958" customFormat="false" ht="15.75" hidden="false" customHeight="false" outlineLevel="0" collapsed="false">
      <c r="B958" s="3"/>
      <c r="C958" s="3"/>
    </row>
    <row r="959" customFormat="false" ht="15.75" hidden="false" customHeight="false" outlineLevel="0" collapsed="false">
      <c r="B959" s="3"/>
      <c r="C959" s="3"/>
    </row>
    <row r="960" customFormat="false" ht="15.75" hidden="false" customHeight="false" outlineLevel="0" collapsed="false">
      <c r="B960" s="3"/>
      <c r="C960" s="3"/>
    </row>
    <row r="961" customFormat="false" ht="15.75" hidden="false" customHeight="false" outlineLevel="0" collapsed="false">
      <c r="B961" s="3"/>
      <c r="C961" s="3"/>
    </row>
    <row r="962" customFormat="false" ht="15.75" hidden="false" customHeight="false" outlineLevel="0" collapsed="false">
      <c r="B962" s="3"/>
      <c r="C962" s="3"/>
    </row>
    <row r="963" customFormat="false" ht="15.75" hidden="false" customHeight="false" outlineLevel="0" collapsed="false">
      <c r="B963" s="3"/>
      <c r="C963" s="3"/>
    </row>
    <row r="964" customFormat="false" ht="15.75" hidden="false" customHeight="false" outlineLevel="0" collapsed="false">
      <c r="B964" s="3"/>
      <c r="C964" s="3"/>
    </row>
    <row r="965" customFormat="false" ht="15.75" hidden="false" customHeight="false" outlineLevel="0" collapsed="false">
      <c r="B965" s="3"/>
      <c r="C965" s="3"/>
    </row>
    <row r="966" customFormat="false" ht="15.75" hidden="false" customHeight="false" outlineLevel="0" collapsed="false">
      <c r="B966" s="3"/>
      <c r="C966" s="3"/>
    </row>
    <row r="967" customFormat="false" ht="15.75" hidden="false" customHeight="false" outlineLevel="0" collapsed="false">
      <c r="B967" s="3"/>
      <c r="C967" s="3"/>
    </row>
    <row r="968" customFormat="false" ht="15.75" hidden="false" customHeight="false" outlineLevel="0" collapsed="false">
      <c r="B968" s="3"/>
      <c r="C968" s="3"/>
    </row>
    <row r="969" customFormat="false" ht="15.75" hidden="false" customHeight="false" outlineLevel="0" collapsed="false">
      <c r="B969" s="3"/>
      <c r="C969" s="3"/>
    </row>
    <row r="970" customFormat="false" ht="15.75" hidden="false" customHeight="false" outlineLevel="0" collapsed="false">
      <c r="B970" s="3"/>
      <c r="C970" s="3"/>
    </row>
    <row r="971" customFormat="false" ht="15.75" hidden="false" customHeight="false" outlineLevel="0" collapsed="false">
      <c r="B971" s="3"/>
      <c r="C971" s="3"/>
    </row>
    <row r="972" customFormat="false" ht="15.75" hidden="false" customHeight="false" outlineLevel="0" collapsed="false">
      <c r="B972" s="3"/>
      <c r="C972" s="3"/>
    </row>
    <row r="973" customFormat="false" ht="15.75" hidden="false" customHeight="false" outlineLevel="0" collapsed="false">
      <c r="B973" s="3"/>
      <c r="C973" s="3"/>
    </row>
    <row r="974" customFormat="false" ht="15.75" hidden="false" customHeight="false" outlineLevel="0" collapsed="false">
      <c r="B974" s="3"/>
      <c r="C974" s="3"/>
    </row>
    <row r="975" customFormat="false" ht="15.75" hidden="false" customHeight="false" outlineLevel="0" collapsed="false">
      <c r="B975" s="3"/>
      <c r="C975" s="3"/>
    </row>
    <row r="976" customFormat="false" ht="15.75" hidden="false" customHeight="false" outlineLevel="0" collapsed="false">
      <c r="B976" s="3"/>
      <c r="C976" s="3"/>
    </row>
    <row r="977" customFormat="false" ht="15.75" hidden="false" customHeight="false" outlineLevel="0" collapsed="false">
      <c r="B977" s="3"/>
      <c r="C977" s="3"/>
    </row>
    <row r="978" customFormat="false" ht="15.75" hidden="false" customHeight="false" outlineLevel="0" collapsed="false">
      <c r="B978" s="3"/>
      <c r="C978" s="3"/>
    </row>
    <row r="979" customFormat="false" ht="15.75" hidden="false" customHeight="false" outlineLevel="0" collapsed="false">
      <c r="B979" s="3"/>
      <c r="C979" s="3"/>
    </row>
    <row r="980" customFormat="false" ht="15.75" hidden="false" customHeight="false" outlineLevel="0" collapsed="false">
      <c r="B980" s="3"/>
      <c r="C980" s="3"/>
    </row>
    <row r="981" customFormat="false" ht="15.75" hidden="false" customHeight="false" outlineLevel="0" collapsed="false">
      <c r="B981" s="3"/>
      <c r="C981" s="3"/>
    </row>
    <row r="982" customFormat="false" ht="15.75" hidden="false" customHeight="false" outlineLevel="0" collapsed="false">
      <c r="B982" s="3"/>
      <c r="C982" s="3"/>
    </row>
    <row r="983" customFormat="false" ht="15.75" hidden="false" customHeight="false" outlineLevel="0" collapsed="false">
      <c r="B983" s="3"/>
      <c r="C983" s="3"/>
    </row>
    <row r="984" customFormat="false" ht="15.75" hidden="false" customHeight="false" outlineLevel="0" collapsed="false">
      <c r="B984" s="3"/>
      <c r="C984" s="3"/>
    </row>
    <row r="985" customFormat="false" ht="15.75" hidden="false" customHeight="false" outlineLevel="0" collapsed="false">
      <c r="B985" s="3"/>
      <c r="C985" s="3"/>
    </row>
    <row r="986" customFormat="false" ht="15.75" hidden="false" customHeight="false" outlineLevel="0" collapsed="false">
      <c r="B986" s="3"/>
      <c r="C986" s="3"/>
    </row>
    <row r="987" customFormat="false" ht="15.75" hidden="false" customHeight="false" outlineLevel="0" collapsed="false">
      <c r="B987" s="3"/>
      <c r="C987" s="3"/>
    </row>
    <row r="988" customFormat="false" ht="15.75" hidden="false" customHeight="false" outlineLevel="0" collapsed="false">
      <c r="B988" s="3"/>
      <c r="C988" s="3"/>
    </row>
    <row r="989" customFormat="false" ht="15.75" hidden="false" customHeight="false" outlineLevel="0" collapsed="false">
      <c r="B989" s="3"/>
      <c r="C989" s="3"/>
    </row>
    <row r="990" customFormat="false" ht="15.75" hidden="false" customHeight="false" outlineLevel="0" collapsed="false">
      <c r="B990" s="3"/>
      <c r="C990" s="3"/>
    </row>
    <row r="991" customFormat="false" ht="15.75" hidden="false" customHeight="false" outlineLevel="0" collapsed="false">
      <c r="B991" s="3"/>
      <c r="C991" s="3"/>
    </row>
    <row r="992" customFormat="false" ht="15.75" hidden="false" customHeight="false" outlineLevel="0" collapsed="false">
      <c r="B992" s="3"/>
      <c r="C992" s="3"/>
    </row>
    <row r="993" customFormat="false" ht="15.75" hidden="false" customHeight="false" outlineLevel="0" collapsed="false">
      <c r="B993" s="3"/>
      <c r="C993" s="3"/>
    </row>
    <row r="994" customFormat="false" ht="15.75" hidden="false" customHeight="false" outlineLevel="0" collapsed="false">
      <c r="B994" s="3"/>
      <c r="C994" s="3"/>
    </row>
    <row r="995" customFormat="false" ht="15.75" hidden="false" customHeight="false" outlineLevel="0" collapsed="false">
      <c r="B995" s="3"/>
      <c r="C995" s="3"/>
    </row>
    <row r="996" customFormat="false" ht="15.75" hidden="false" customHeight="false" outlineLevel="0" collapsed="false">
      <c r="B996" s="3"/>
      <c r="C996" s="3"/>
    </row>
    <row r="997" customFormat="false" ht="15.75" hidden="false" customHeight="false" outlineLevel="0" collapsed="false">
      <c r="B997" s="3"/>
      <c r="C997" s="3"/>
    </row>
    <row r="998" customFormat="false" ht="15.75" hidden="false" customHeight="false" outlineLevel="0" collapsed="false">
      <c r="B998" s="3"/>
      <c r="C998" s="3"/>
    </row>
    <row r="999" customFormat="false" ht="15.75" hidden="false" customHeight="false" outlineLevel="0" collapsed="false">
      <c r="B999" s="3"/>
      <c r="C999" s="3"/>
    </row>
    <row r="1000" customFormat="false" ht="15.75" hidden="false" customHeight="false" outlineLevel="0" collapsed="false">
      <c r="B1000" s="3"/>
      <c r="C1000" s="3"/>
    </row>
    <row r="1001" customFormat="false" ht="15.75" hidden="false" customHeight="false" outlineLevel="0" collapsed="false">
      <c r="B1001" s="3"/>
      <c r="C1001" s="3"/>
    </row>
    <row r="1002" customFormat="false" ht="15.75" hidden="false" customHeight="false" outlineLevel="0" collapsed="false">
      <c r="B1002" s="3"/>
      <c r="C1002" s="3"/>
    </row>
    <row r="1003" customFormat="false" ht="15.75" hidden="false" customHeight="false" outlineLevel="0" collapsed="false">
      <c r="B1003" s="3"/>
      <c r="C1003" s="3"/>
    </row>
    <row r="1004" customFormat="false" ht="15.75" hidden="false" customHeight="false" outlineLevel="0" collapsed="false">
      <c r="B1004" s="3"/>
      <c r="C1004" s="3"/>
    </row>
    <row r="1005" customFormat="false" ht="15.75" hidden="false" customHeight="false" outlineLevel="0" collapsed="false">
      <c r="B1005" s="3"/>
      <c r="C1005" s="3"/>
    </row>
    <row r="1006" customFormat="false" ht="15.75" hidden="false" customHeight="false" outlineLevel="0" collapsed="false">
      <c r="B1006" s="3"/>
      <c r="C1006" s="3"/>
    </row>
    <row r="1007" customFormat="false" ht="15.75" hidden="false" customHeight="false" outlineLevel="0" collapsed="false">
      <c r="B1007" s="3"/>
      <c r="C1007" s="3"/>
    </row>
    <row r="1008" customFormat="false" ht="15.75" hidden="false" customHeight="false" outlineLevel="0" collapsed="false">
      <c r="B1008" s="3"/>
      <c r="C1008" s="3"/>
    </row>
    <row r="1009" customFormat="false" ht="15.75" hidden="false" customHeight="false" outlineLevel="0" collapsed="false">
      <c r="B1009" s="3"/>
      <c r="C1009" s="3"/>
    </row>
    <row r="1010" customFormat="false" ht="15.75" hidden="false" customHeight="false" outlineLevel="0" collapsed="false">
      <c r="B1010" s="3"/>
      <c r="C1010" s="3"/>
    </row>
    <row r="1011" customFormat="false" ht="15.75" hidden="false" customHeight="false" outlineLevel="0" collapsed="false">
      <c r="B1011" s="3"/>
      <c r="C1011" s="3"/>
    </row>
    <row r="1012" customFormat="false" ht="15.75" hidden="false" customHeight="false" outlineLevel="0" collapsed="false">
      <c r="B1012" s="3"/>
      <c r="C1012" s="3"/>
    </row>
    <row r="1013" customFormat="false" ht="15.75" hidden="false" customHeight="false" outlineLevel="0" collapsed="false">
      <c r="B1013" s="3"/>
      <c r="C1013" s="3"/>
    </row>
    <row r="1014" customFormat="false" ht="15.75" hidden="false" customHeight="false" outlineLevel="0" collapsed="false">
      <c r="B1014" s="3"/>
      <c r="C1014" s="3"/>
    </row>
    <row r="1015" customFormat="false" ht="15.75" hidden="false" customHeight="false" outlineLevel="0" collapsed="false">
      <c r="B1015" s="3"/>
      <c r="C1015" s="3"/>
    </row>
    <row r="1016" customFormat="false" ht="15.75" hidden="false" customHeight="false" outlineLevel="0" collapsed="false">
      <c r="B1016" s="3"/>
      <c r="C1016" s="3"/>
    </row>
    <row r="1017" customFormat="false" ht="15.75" hidden="false" customHeight="false" outlineLevel="0" collapsed="false">
      <c r="B1017" s="3"/>
      <c r="C1017" s="3"/>
    </row>
    <row r="1018" customFormat="false" ht="15.75" hidden="false" customHeight="false" outlineLevel="0" collapsed="false">
      <c r="B1018" s="3"/>
      <c r="C1018" s="3"/>
    </row>
    <row r="1019" customFormat="false" ht="15.75" hidden="false" customHeight="false" outlineLevel="0" collapsed="false">
      <c r="B1019" s="3"/>
      <c r="C1019" s="3"/>
    </row>
    <row r="1020" customFormat="false" ht="15.75" hidden="false" customHeight="false" outlineLevel="0" collapsed="false">
      <c r="B1020" s="3"/>
      <c r="C1020" s="3"/>
    </row>
  </sheetData>
  <conditionalFormatting sqref="A26">
    <cfRule type="expression" priority="2" aboveAverage="0" equalAverage="0" bottom="0" percent="0" rank="0" text="" dxfId="2">
      <formula>COUNTIF(B29:C100,A26)=0</formula>
    </cfRule>
  </conditionalFormatting>
  <conditionalFormatting sqref="A24:A25">
    <cfRule type="expression" priority="3" aboveAverage="0" equalAverage="0" bottom="0" percent="0" rank="0" text="" dxfId="2">
      <formula>COUNTIF(B24:C95,A24)=0</formula>
    </cfRule>
  </conditionalFormatting>
  <conditionalFormatting sqref="C104">
    <cfRule type="expression" priority="4" aboveAverage="0" equalAverage="0" bottom="0" percent="0" rank="0" text="" dxfId="1">
      <formula>D104="YES"</formula>
    </cfRule>
  </conditionalFormatting>
  <conditionalFormatting sqref="A2:A926">
    <cfRule type="expression" priority="5" aboveAverage="0" equalAverage="0" bottom="0" percent="0" rank="0" text="" dxfId="2">
      <formula>COUNTIF(B2:C2,A2)=0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9.5"/>
    <col collapsed="false" customWidth="true" hidden="false" outlineLevel="0" max="2" min="2" style="0" width="7"/>
    <col collapsed="false" customWidth="true" hidden="false" outlineLevel="0" max="3" min="3" style="0" width="72.63"/>
    <col collapsed="false" customWidth="true" hidden="false" outlineLevel="0" max="4" min="4" style="0" width="7"/>
    <col collapsed="false" customWidth="true" hidden="false" outlineLevel="0" max="6" min="5" style="0" width="53.63"/>
    <col collapsed="false" customWidth="true" hidden="true" outlineLevel="0" max="7" min="7" style="0" width="52.63"/>
    <col collapsed="false" customWidth="true" hidden="true" outlineLevel="0" max="8" min="8" style="0" width="59.89"/>
  </cols>
  <sheetData>
    <row r="1" customFormat="false" ht="49.3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1</v>
      </c>
      <c r="E1" s="2"/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1207</v>
      </c>
      <c r="B2" s="3" t="str">
        <f aca="false">IF(COUNTIF(Final_CB_O4_V5!$B$4:$B$523,A2)&gt;=1,"YES","NO")</f>
        <v>YES</v>
      </c>
      <c r="C2" s="3" t="s">
        <v>1207</v>
      </c>
      <c r="D2" s="3" t="str">
        <f aca="false">IF(COUNTIF(Final_CB_O4_V5!$C$4:$C$523,C2)&gt;=1,"YES","NO")</f>
        <v>YES</v>
      </c>
      <c r="F2" s="4" t="str">
        <f aca="false">IFERROR(__xludf.dummyfunction("filter(A2:A700, MATCH(A2:A700, C2:C700, FALSE))"),"alternatives")</f>
        <v>alternatives</v>
      </c>
      <c r="G2" s="4" t="str">
        <f aca="false">IFERROR(__xludf.dummyfunction("filter(A2:A700,iserror(MATCH(A2:A700, C2:C700, FALSE)))"),"alternatives::(none)")</f>
        <v>alternatives::(none)</v>
      </c>
      <c r="H2" s="4" t="str">
        <f aca="false">IFERROR(__xludf.dummyfunction("filter(C2:C700,ISERROR(MATCH(C2:C700, A2:A700, FALSE)))"),"components::of::BP::description")</f>
        <v>components::of::BP::description</v>
      </c>
    </row>
    <row r="3" customFormat="false" ht="15.75" hidden="false" customHeight="false" outlineLevel="0" collapsed="false">
      <c r="A3" s="3" t="s">
        <v>1208</v>
      </c>
      <c r="B3" s="3" t="str">
        <f aca="false">IF(COUNTIF(Final_CB_O4_V5!$B$4:$B$523,A3)&gt;=1,"YES","NO")</f>
        <v>YES</v>
      </c>
      <c r="C3" s="3" t="s">
        <v>1209</v>
      </c>
      <c r="D3" s="3" t="str">
        <f aca="false">IF(COUNTIF(Final_CB_O4_V5!$C$4:$C$523,C3)&gt;=1,"YES","NO")</f>
        <v>YES</v>
      </c>
      <c r="F3" s="4" t="str">
        <f aca="false">IFERROR(__xludf.dummyfunction("""COMPUTED_VALUE"""),"dependencies")</f>
        <v>dependencies</v>
      </c>
      <c r="G3" s="4" t="str">
        <f aca="false">IFERROR(__xludf.dummyfunction("""COMPUTED_VALUE"""),"code::example")</f>
        <v>code::example</v>
      </c>
      <c r="H3" s="4" t="str">
        <f aca="false">IFERROR(__xludf.dummyfunction("""COMPUTED_VALUE"""),"condittion::of::testing")</f>
        <v>condittion::of::testing</v>
      </c>
    </row>
    <row r="4" customFormat="false" ht="15.75" hidden="false" customHeight="false" outlineLevel="0" collapsed="false">
      <c r="A4" s="3" t="s">
        <v>1210</v>
      </c>
      <c r="B4" s="3" t="str">
        <f aca="false">IF(COUNTIF(Final_CB_O4_V5!$B$4:$B$523,A4)&gt;=1,"YES","NO")</f>
        <v>YES</v>
      </c>
      <c r="C4" s="3" t="s">
        <v>1211</v>
      </c>
      <c r="D4" s="3" t="str">
        <f aca="false">IF(COUNTIF(Final_CB_O4_V5!$C$4:$C$523,C4)&gt;=1,"YES","NO")</f>
        <v>YES</v>
      </c>
      <c r="F4" s="4" t="str">
        <f aca="false">IFERROR(__xludf.dummyfunction("""COMPUTED_VALUE"""),"external::references")</f>
        <v>external::references</v>
      </c>
      <c r="G4" s="4" t="str">
        <f aca="false">IFERROR(__xludf.dummyfunction("""COMPUTED_VALUE"""),"dependencies::(none)")</f>
        <v>dependencies::(none)</v>
      </c>
      <c r="H4" s="4" t="str">
        <f aca="false">IFERROR(__xludf.dummyfunction("""COMPUTED_VALUE"""),"cons::of::alternative2::solution")</f>
        <v>cons::of::alternative2::solution</v>
      </c>
    </row>
    <row r="5" customFormat="false" ht="15.75" hidden="false" customHeight="false" outlineLevel="0" collapsed="false">
      <c r="A5" s="3" t="s">
        <v>1212</v>
      </c>
      <c r="B5" s="3" t="str">
        <f aca="false">IF(COUNTIF(Final_CB_O4_V5!$B$4:$B$523,A5)&gt;=1,"YES","NO")</f>
        <v>YES</v>
      </c>
      <c r="C5" s="3" t="s">
        <v>1213</v>
      </c>
      <c r="D5" s="3" t="str">
        <f aca="false">IF(COUNTIF(Final_CB_O4_V5!$C$4:$C$523,C5)&gt;=1,"YES","NO")</f>
        <v>YES</v>
      </c>
      <c r="F5" s="4" t="str">
        <f aca="false">IFERROR(__xludf.dummyfunction("""COMPUTED_VALUE"""),"external::references::(Mailing::list)")</f>
        <v>external::references::(Mailing::list)</v>
      </c>
      <c r="G5" s="4" t="str">
        <f aca="false">IFERROR(__xludf.dummyfunction("""COMPUTED_VALUE"""),"documentation::(API)")</f>
        <v>documentation::(API)</v>
      </c>
      <c r="H5" s="4" t="str">
        <f aca="false">IFERROR(__xludf.dummyfunction("""COMPUTED_VALUE"""),"cons::of::solution")</f>
        <v>cons::of::solution</v>
      </c>
    </row>
    <row r="6" customFormat="false" ht="15.75" hidden="false" customHeight="false" outlineLevel="0" collapsed="false">
      <c r="A6" s="3" t="s">
        <v>1214</v>
      </c>
      <c r="B6" s="3" t="str">
        <f aca="false">IF(COUNTIF(Final_CB_O4_V5!$B$4:$B$523,A6)&gt;=1,"YES","NO")</f>
        <v>YES</v>
      </c>
      <c r="C6" s="3" t="s">
        <v>1215</v>
      </c>
      <c r="D6" s="3" t="str">
        <f aca="false">IF(COUNTIF(Final_CB_O4_V5!$C$4:$C$523,C6)&gt;=1,"YES","NO")</f>
        <v>YES</v>
      </c>
      <c r="F6" s="4" t="str">
        <f aca="false">IFERROR(__xludf.dummyfunction("""COMPUTED_VALUE"""),"feature::description")</f>
        <v>feature::description</v>
      </c>
      <c r="G6" s="4" t="str">
        <f aca="false">IFERROR(__xludf.dummyfunction("""COMPUTED_VALUE"""),"documentation::(network)")</f>
        <v>documentation::(network)</v>
      </c>
      <c r="H6" s="4" t="str">
        <f aca="false">IFERROR(__xludf.dummyfunction("""COMPUTED_VALUE"""),"definition::REST::API")</f>
        <v>definition::REST::API</v>
      </c>
    </row>
    <row r="7" customFormat="false" ht="15.75" hidden="false" customHeight="false" outlineLevel="0" collapsed="false">
      <c r="A7" s="3" t="s">
        <v>1216</v>
      </c>
      <c r="B7" s="3" t="str">
        <f aca="false">IF(COUNTIF(Final_CB_O4_V5!$B$4:$B$523,A7)&gt;=1,"YES","NO")</f>
        <v>YES</v>
      </c>
      <c r="C7" s="3" t="s">
        <v>1217</v>
      </c>
      <c r="D7" s="3" t="str">
        <f aca="false">IF(COUNTIF(Final_CB_O4_V5!$C$4:$C$523,C7)&gt;=1,"YES","NO")</f>
        <v>YES</v>
      </c>
      <c r="F7" s="4" t="str">
        <f aca="false">IFERROR(__xludf.dummyfunction("""COMPUTED_VALUE"""),"fix::merged::(link::review::commit)")</f>
        <v>fix::merged::(link::review::commit)</v>
      </c>
      <c r="G7" s="4" t="str">
        <f aca="false">IFERROR(__xludf.dummyfunction("""COMPUTED_VALUE"""),"documentation::(unexposed::API)")</f>
        <v>documentation::(unexposed::API)</v>
      </c>
      <c r="H7" s="4" t="str">
        <f aca="false">IFERROR(__xludf.dummyfunction("""COMPUTED_VALUE"""),"external::references::(user::guides)")</f>
        <v>external::references::(user::guides)</v>
      </c>
    </row>
    <row r="8" customFormat="false" ht="15.75" hidden="false" customHeight="false" outlineLevel="0" collapsed="false">
      <c r="A8" s="3" t="s">
        <v>1218</v>
      </c>
      <c r="B8" s="3" t="str">
        <f aca="false">IF(COUNTIF(Final_CB_O4_V5!$B$4:$B$523,A8)&gt;=1,"YES","NO")</f>
        <v>YES</v>
      </c>
      <c r="C8" s="3" t="s">
        <v>1212</v>
      </c>
      <c r="D8" s="3" t="str">
        <f aca="false">IF(COUNTIF(Final_CB_O4_V5!$C$4:$C$523,C8)&gt;=1,"YES","NO")</f>
        <v>YES</v>
      </c>
      <c r="F8" s="4" t="str">
        <f aca="false">IFERROR(__xludf.dummyfunction("""COMPUTED_VALUE"""),"fix::merged::(link::review::commit)::not::main::branch")</f>
        <v>fix::merged::(link::review::commit)::not::main::branch</v>
      </c>
      <c r="G8" s="4" t="str">
        <f aca="false">IFERROR(__xludf.dummyfunction("""COMPUTED_VALUE"""),"documentation::(usage)")</f>
        <v>documentation::(usage)</v>
      </c>
      <c r="H8" s="4" t="str">
        <f aca="false">IFERROR(__xludf.dummyfunction("""COMPUTED_VALUE"""),"false::postive::(not::clear::relation::with::Introducing::issue)")</f>
        <v>false::postive::(not::clear::relation::with::Introducing::issue)</v>
      </c>
    </row>
    <row r="9" customFormat="false" ht="15.75" hidden="false" customHeight="false" outlineLevel="0" collapsed="false">
      <c r="A9" s="3" t="s">
        <v>1219</v>
      </c>
      <c r="B9" s="3" t="str">
        <f aca="false">IF(COUNTIF(Final_CB_O4_V5!$B$4:$B$523,A9)&gt;=1,"YES","NO")</f>
        <v>YES</v>
      </c>
      <c r="C9" s="3" t="s">
        <v>1220</v>
      </c>
      <c r="D9" s="3" t="str">
        <f aca="false">IF(COUNTIF(Final_CB_O4_V5!$C$4:$C$523,C9)&gt;=1,"YES","NO")</f>
        <v>YES</v>
      </c>
      <c r="F9" s="4" t="str">
        <f aca="false">IFERROR(__xludf.dummyfunction("""COMPUTED_VALUE"""),"impact::(documentation)")</f>
        <v>impact::(documentation)</v>
      </c>
      <c r="G9" s="4" t="str">
        <f aca="false">IFERROR(__xludf.dummyfunction("""COMPUTED_VALUE"""),"external::references::(another::blueprint)")</f>
        <v>external::references::(another::blueprint)</v>
      </c>
      <c r="H9" s="4" t="str">
        <f aca="false">IFERROR(__xludf.dummyfunction("""COMPUTED_VALUE"""),"history::of::bp")</f>
        <v>history::of::bp</v>
      </c>
    </row>
    <row r="10" customFormat="false" ht="15.75" hidden="false" customHeight="false" outlineLevel="0" collapsed="false">
      <c r="A10" s="3" t="s">
        <v>1221</v>
      </c>
      <c r="B10" s="3" t="str">
        <f aca="false">IF(COUNTIF(Final_CB_O4_V5!$B$4:$B$523,A10)&gt;=1,"YES","NO")</f>
        <v>YES</v>
      </c>
      <c r="C10" s="3" t="s">
        <v>1222</v>
      </c>
      <c r="D10" s="3" t="str">
        <f aca="false">IF(COUNTIF(Final_CB_O4_V5!$C$4:$C$523,C10)&gt;=1,"YES","NO")</f>
        <v>YES</v>
      </c>
      <c r="F10" s="4" t="str">
        <f aca="false">IFERROR(__xludf.dummyfunction("""COMPUTED_VALUE"""),"impact::(on::API)")</f>
        <v>impact::(on::API)</v>
      </c>
      <c r="G10" s="4" t="str">
        <f aca="false">IFERROR(__xludf.dummyfunction("""COMPUTED_VALUE"""),"external::references::(blueprint)")</f>
        <v>external::references::(blueprint)</v>
      </c>
      <c r="H10" s="4" t="str">
        <f aca="false">IFERROR(__xludf.dummyfunction("""COMPUTED_VALUE"""),"mentioned::bp::as::part::of:.release")</f>
        <v>mentioned::bp::as::part::of:.release</v>
      </c>
    </row>
    <row r="11" customFormat="false" ht="15.75" hidden="false" customHeight="false" outlineLevel="0" collapsed="false">
      <c r="A11" s="3" t="s">
        <v>1220</v>
      </c>
      <c r="B11" s="3" t="str">
        <f aca="false">IF(COUNTIF(Final_CB_O4_V5!$B$4:$B$523,A11)&gt;=1,"YES","NO")</f>
        <v>YES</v>
      </c>
      <c r="C11" s="3" t="s">
        <v>1223</v>
      </c>
      <c r="D11" s="3" t="str">
        <f aca="false">IF(COUNTIF(Final_CB_O4_V5!$C$4:$C$523,C11)&gt;=1,"YES","NO")</f>
        <v>YES</v>
      </c>
      <c r="F11" s="4" t="str">
        <f aca="false">IFERROR(__xludf.dummyfunction("""COMPUTED_VALUE"""),"impact::(on::data::model)")</f>
        <v>impact::(on::data::model)</v>
      </c>
      <c r="G11" s="4" t="str">
        <f aca="false">IFERROR(__xludf.dummyfunction("""COMPUTED_VALUE"""),"external::references::(etherpad)")</f>
        <v>external::references::(etherpad)</v>
      </c>
      <c r="H11" s="4" t="str">
        <f aca="false">IFERROR(__xludf.dummyfunction("""COMPUTED_VALUE"""),"possible::extension::BP/feature")</f>
        <v>possible::extension::BP/feature</v>
      </c>
    </row>
    <row r="12" customFormat="false" ht="15.75" hidden="false" customHeight="false" outlineLevel="0" collapsed="false">
      <c r="A12" s="3" t="s">
        <v>1224</v>
      </c>
      <c r="B12" s="3" t="str">
        <f aca="false">IF(COUNTIF(Final_CB_O4_V5!$B$4:$B$523,A12)&gt;=1,"YES","NO")</f>
        <v>YES</v>
      </c>
      <c r="C12" s="3" t="s">
        <v>1225</v>
      </c>
      <c r="D12" s="3" t="str">
        <f aca="false">IF(COUNTIF(Final_CB_O4_V5!$C$4:$C$523,C12)&gt;=1,"YES","NO")</f>
        <v>YES</v>
      </c>
      <c r="F12" s="4" t="str">
        <f aca="false">IFERROR(__xludf.dummyfunction("""COMPUTED_VALUE"""),"impact::(on::developer)")</f>
        <v>impact::(on::developer)</v>
      </c>
      <c r="G12" s="4" t="str">
        <f aca="false">IFERROR(__xludf.dummyfunction("""COMPUTED_VALUE"""),"external::references::(other::github::project)")</f>
        <v>external::references::(other::github::project)</v>
      </c>
      <c r="H12" s="4" t="str">
        <f aca="false">IFERROR(__xludf.dummyfunction("""COMPUTED_VALUE"""),"proposal::of::a::possible::fix::(idea)")</f>
        <v>proposal::of::a::possible::fix::(idea)</v>
      </c>
    </row>
    <row r="13" customFormat="false" ht="15.75" hidden="false" customHeight="false" outlineLevel="0" collapsed="false">
      <c r="A13" s="3" t="s">
        <v>1226</v>
      </c>
      <c r="B13" s="3" t="str">
        <f aca="false">IF(COUNTIF(Final_CB_O4_V5!$B$4:$B$523,A13)&gt;=1,"YES","NO")</f>
        <v>YES</v>
      </c>
      <c r="C13" s="3" t="s">
        <v>442</v>
      </c>
      <c r="D13" s="3" t="str">
        <f aca="false">IF(COUNTIF(Final_CB_O4_V5!$C$4:$C$523,C13)&gt;=1,"YES","NO")</f>
        <v>YES</v>
      </c>
      <c r="F13" s="4" t="str">
        <f aca="false">IFERROR(__xludf.dummyfunction("""COMPUTED_VALUE"""),"impact::(on::notifications)")</f>
        <v>impact::(on::notifications)</v>
      </c>
      <c r="G13" s="4" t="str">
        <f aca="false">IFERROR(__xludf.dummyfunction("""COMPUTED_VALUE"""),"external::references::(review)")</f>
        <v>external::references::(review)</v>
      </c>
      <c r="H13" s="4" t="str">
        <f aca="false">IFERROR(__xludf.dummyfunction("""COMPUTED_VALUE"""),"relation::with::other::BP/feature")</f>
        <v>relation::with::other::BP/feature</v>
      </c>
    </row>
    <row r="14" customFormat="false" ht="15.75" hidden="false" customHeight="false" outlineLevel="0" collapsed="false">
      <c r="A14" s="3" t="s">
        <v>1227</v>
      </c>
      <c r="B14" s="3" t="str">
        <f aca="false">IF(COUNTIF(Final_CB_O4_V5!$B$4:$B$523,A14)&gt;=1,"YES","NO")</f>
        <v>YES</v>
      </c>
      <c r="C14" s="3" t="s">
        <v>449</v>
      </c>
      <c r="D14" s="3" t="str">
        <f aca="false">IF(COUNTIF(Final_CB_O4_V5!$C$4:$C$523,C14)&gt;=1,"YES","NO")</f>
        <v>YES</v>
      </c>
      <c r="F14" s="4" t="str">
        <f aca="false">IFERROR(__xludf.dummyfunction("""COMPUTED_VALUE"""),"impact::(on::other::end::users)")</f>
        <v>impact::(on::other::end::users)</v>
      </c>
      <c r="G14" s="4" t="str">
        <f aca="false">IFERROR(__xludf.dummyfunction("""COMPUTED_VALUE"""),"external::references::(summit)")</f>
        <v>external::references::(summit)</v>
      </c>
      <c r="H14" s="4" t="str">
        <f aca="false">IFERROR(__xludf.dummyfunction("""COMPUTED_VALUE"""),"source::of::the::bug::(link::to::paste::open::stack)")</f>
        <v>source::of::the::bug::(link::to::paste::open::stack)</v>
      </c>
    </row>
    <row r="15" customFormat="false" ht="15.75" hidden="false" customHeight="false" outlineLevel="0" collapsed="false">
      <c r="A15" s="3" t="s">
        <v>1222</v>
      </c>
      <c r="B15" s="3" t="str">
        <f aca="false">IF(COUNTIF(Final_CB_O4_V5!$B$4:$B$523,A15)&gt;=1,"YES","NO")</f>
        <v>YES</v>
      </c>
      <c r="C15" s="3" t="s">
        <v>1228</v>
      </c>
      <c r="D15" s="3" t="str">
        <f aca="false">IF(COUNTIF(Final_CB_O4_V5!$C$4:$C$523,C15)&gt;=1,"YES","NO")</f>
        <v>YES</v>
      </c>
      <c r="F15" s="4" t="str">
        <f aca="false">IFERROR(__xludf.dummyfunction("""COMPUTED_VALUE"""),"impact::(on::performance)")</f>
        <v>impact::(on::performance)</v>
      </c>
      <c r="G15" s="4" t="str">
        <f aca="false">IFERROR(__xludf.dummyfunction("""COMPUTED_VALUE"""),"impact::(documentation::-&gt;::none)")</f>
        <v>impact::(documentation::-&gt;::none)</v>
      </c>
      <c r="H15" s="4"/>
    </row>
    <row r="16" customFormat="false" ht="15.75" hidden="false" customHeight="false" outlineLevel="0" collapsed="false">
      <c r="A16" s="3" t="s">
        <v>1229</v>
      </c>
      <c r="B16" s="3" t="str">
        <f aca="false">IF(COUNTIF(Final_CB_O4_V5!$B$4:$B$523,A16)&gt;=1,"YES","NO")</f>
        <v>YES</v>
      </c>
      <c r="C16" s="3" t="s">
        <v>1230</v>
      </c>
      <c r="D16" s="3" t="str">
        <f aca="false">IF(COUNTIF(Final_CB_O4_V5!$C$4:$C$523,C16)&gt;=1,"YES","NO")</f>
        <v>YES</v>
      </c>
      <c r="F16" s="4" t="str">
        <f aca="false">IFERROR(__xludf.dummyfunction("""COMPUTED_VALUE"""),"impact::(other::deployer::impact)")</f>
        <v>impact::(other::deployer::impact)</v>
      </c>
      <c r="G16" s="4" t="str">
        <f aca="false">IFERROR(__xludf.dummyfunction("""COMPUTED_VALUE"""),"impact::(on::API::-&gt;::none)")</f>
        <v>impact::(on::API::-&gt;::none)</v>
      </c>
      <c r="H16" s="4"/>
    </row>
    <row r="17" customFormat="false" ht="15.75" hidden="false" customHeight="false" outlineLevel="0" collapsed="false">
      <c r="A17" s="3" t="s">
        <v>1231</v>
      </c>
      <c r="B17" s="3" t="str">
        <f aca="false">IF(COUNTIF(Final_CB_O4_V5!$B$4:$B$523,A17)&gt;=1,"YES","NO")</f>
        <v>YES</v>
      </c>
      <c r="C17" s="3" t="s">
        <v>1232</v>
      </c>
      <c r="D17" s="3" t="str">
        <f aca="false">IF(COUNTIF(Final_CB_O4_V5!$C$4:$C$523,C17)&gt;=1,"YES","NO")</f>
        <v>YES</v>
      </c>
      <c r="F17" s="4" t="str">
        <f aca="false">IFERROR(__xludf.dummyfunction("""COMPUTED_VALUE"""),"impact::(security)")</f>
        <v>impact::(security)</v>
      </c>
      <c r="G17" s="4" t="str">
        <f aca="false">IFERROR(__xludf.dummyfunction("""COMPUTED_VALUE"""),"impact::(on::data::model::-&gt;::none)")</f>
        <v>impact::(on::data::model::-&gt;::none)</v>
      </c>
      <c r="H17" s="4"/>
    </row>
    <row r="18" customFormat="false" ht="15.75" hidden="false" customHeight="false" outlineLevel="0" collapsed="false">
      <c r="A18" s="3" t="s">
        <v>1233</v>
      </c>
      <c r="B18" s="3" t="str">
        <f aca="false">IF(COUNTIF(Final_CB_O4_V5!$B$4:$B$523,A18)&gt;=1,"YES","NO")</f>
        <v>YES</v>
      </c>
      <c r="C18" s="3" t="s">
        <v>1234</v>
      </c>
      <c r="D18" s="3" t="str">
        <f aca="false">IF(COUNTIF(Final_CB_O4_V5!$C$4:$C$523,C18)&gt;=1,"YES","NO")</f>
        <v>YES</v>
      </c>
      <c r="F18" s="4" t="str">
        <f aca="false">IFERROR(__xludf.dummyfunction("""COMPUTED_VALUE"""),"mentioned::bp::as::part::of:.meeting::agenda")</f>
        <v>mentioned::bp::as::part::of:.meeting::agenda</v>
      </c>
      <c r="G18" s="4" t="str">
        <f aca="false">IFERROR(__xludf.dummyfunction("""COMPUTED_VALUE"""),"impact::(on::developer::-&gt;::none)")</f>
        <v>impact::(on::developer::-&gt;::none)</v>
      </c>
      <c r="H18" s="4"/>
    </row>
    <row r="19" customFormat="false" ht="15.75" hidden="false" customHeight="false" outlineLevel="0" collapsed="false">
      <c r="A19" s="3" t="s">
        <v>442</v>
      </c>
      <c r="B19" s="3" t="str">
        <f aca="false">IF(COUNTIF(Final_CB_O4_V5!$B$4:$B$523,A19)&gt;=1,"YES","NO")</f>
        <v>YES</v>
      </c>
      <c r="C19" s="3" t="s">
        <v>1235</v>
      </c>
      <c r="D19" s="3" t="str">
        <f aca="false">IF(COUNTIF(Final_CB_O4_V5!$C$4:$C$523,C19)&gt;=1,"YES","NO")</f>
        <v>YES</v>
      </c>
      <c r="F19" s="4" t="str">
        <f aca="false">IFERROR(__xludf.dummyfunction("""COMPUTED_VALUE"""),"mitigations::of::cons::solution2")</f>
        <v>mitigations::of::cons::solution2</v>
      </c>
      <c r="G19" s="4" t="str">
        <f aca="false">IFERROR(__xludf.dummyfunction("""COMPUTED_VALUE"""),"impact::(on::notifications::-&gt;::none)")</f>
        <v>impact::(on::notifications::-&gt;::none)</v>
      </c>
      <c r="H19" s="4"/>
    </row>
    <row r="20" customFormat="false" ht="15.75" hidden="false" customHeight="false" outlineLevel="0" collapsed="false">
      <c r="A20" s="3" t="s">
        <v>449</v>
      </c>
      <c r="B20" s="3" t="str">
        <f aca="false">IF(COUNTIF(Final_CB_O4_V5!$B$4:$B$523,A20)&gt;=1,"YES","NO")</f>
        <v>YES</v>
      </c>
      <c r="C20" s="3" t="s">
        <v>1236</v>
      </c>
      <c r="D20" s="3" t="str">
        <f aca="false">IF(COUNTIF(Final_CB_O4_V5!$C$4:$C$523,C20)&gt;=1,"YES","NO")</f>
        <v>YES</v>
      </c>
      <c r="F20" s="4" t="str">
        <f aca="false">IFERROR(__xludf.dummyfunction("""COMPUTED_VALUE"""),"objective::of::the::BP/feature")</f>
        <v>objective::of::the::BP/feature</v>
      </c>
      <c r="G20" s="4" t="str">
        <f aca="false">IFERROR(__xludf.dummyfunction("""COMPUTED_VALUE"""),"impact::(on::other::end::users::-&gt;::none)")</f>
        <v>impact::(on::other::end::users::-&gt;::none)</v>
      </c>
      <c r="H20" s="4"/>
    </row>
    <row r="21" customFormat="false" ht="15.75" hidden="false" customHeight="false" outlineLevel="0" collapsed="false">
      <c r="A21" s="3" t="s">
        <v>1228</v>
      </c>
      <c r="B21" s="3" t="str">
        <f aca="false">IF(COUNTIF(Final_CB_O4_V5!$B$4:$B$523,A21)&gt;=1,"YES","NO")</f>
        <v>YES</v>
      </c>
      <c r="C21" s="3" t="s">
        <v>1237</v>
      </c>
      <c r="D21" s="3" t="str">
        <f aca="false">IF(COUNTIF(Final_CB_O4_V5!$C$4:$C$523,C21)&gt;=1,"YES","NO")</f>
        <v>YES</v>
      </c>
      <c r="F21" s="4" t="str">
        <f aca="false">IFERROR(__xludf.dummyfunction("""COMPUTED_VALUE"""),"problem::description")</f>
        <v>problem::description</v>
      </c>
      <c r="G21" s="4" t="str">
        <f aca="false">IFERROR(__xludf.dummyfunction("""COMPUTED_VALUE"""),"impact::(on::performance::-&gt;::none)")</f>
        <v>impact::(on::performance::-&gt;::none)</v>
      </c>
      <c r="H21" s="4"/>
    </row>
    <row r="22" customFormat="false" ht="15.75" hidden="false" customHeight="false" outlineLevel="0" collapsed="false">
      <c r="A22" s="3" t="s">
        <v>1232</v>
      </c>
      <c r="B22" s="3" t="str">
        <f aca="false">IF(COUNTIF(Final_CB_O4_V5!$B$4:$B$523,A22)&gt;=1,"YES","NO")</f>
        <v>YES</v>
      </c>
      <c r="C22" s="3" t="s">
        <v>1238</v>
      </c>
      <c r="D22" s="3" t="str">
        <f aca="false">IF(COUNTIF(Final_CB_O4_V5!$C$4:$C$523,C22)&gt;=1,"YES","NO")</f>
        <v>YES</v>
      </c>
      <c r="F22" s="4" t="str">
        <f aca="false">IFERROR(__xludf.dummyfunction("""COMPUTED_VALUE"""),"project::priority")</f>
        <v>project::priority</v>
      </c>
      <c r="G22" s="4" t="str">
        <f aca="false">IFERROR(__xludf.dummyfunction("""COMPUTED_VALUE"""),"impact::(other::deployer::impact::-&gt;::none)")</f>
        <v>impact::(other::deployer::impact::-&gt;::none)</v>
      </c>
      <c r="H22" s="4"/>
    </row>
    <row r="23" customFormat="false" ht="15.75" hidden="false" customHeight="false" outlineLevel="0" collapsed="false">
      <c r="A23" s="3" t="s">
        <v>1239</v>
      </c>
      <c r="B23" s="3" t="str">
        <f aca="false">IF(COUNTIF(Final_CB_O4_V5!$B$4:$B$523,A23)&gt;=1,"YES","NO")</f>
        <v>YES</v>
      </c>
      <c r="C23" s="3" t="s">
        <v>1240</v>
      </c>
      <c r="D23" s="3" t="str">
        <f aca="false">IF(COUNTIF(Final_CB_O4_V5!$C$4:$C$523,C23)&gt;=1,"YES","NO")</f>
        <v>YES</v>
      </c>
      <c r="F23" s="4" t="str">
        <f aca="false">IFERROR(__xludf.dummyfunction("""COMPUTED_VALUE"""),"proposal::of::a::possible::fix::(link::review)")</f>
        <v>proposal::of::a::possible::fix::(link::review)</v>
      </c>
      <c r="G23" s="4" t="str">
        <f aca="false">IFERROR(__xludf.dummyfunction("""COMPUTED_VALUE"""),"impact::(security::-&gt;::none)")</f>
        <v>impact::(security::-&gt;::none)</v>
      </c>
      <c r="H23" s="4"/>
    </row>
    <row r="24" customFormat="false" ht="15.75" hidden="false" customHeight="false" outlineLevel="0" collapsed="false">
      <c r="A24" s="3" t="s">
        <v>1234</v>
      </c>
      <c r="B24" s="3" t="str">
        <f aca="false">IF(COUNTIF(Final_CB_O4_V5!$B$4:$B$523,A24)&gt;=1,"YES","NO")</f>
        <v>YES</v>
      </c>
      <c r="C24" s="3" t="s">
        <v>1241</v>
      </c>
      <c r="D24" s="3" t="str">
        <f aca="false">IF(COUNTIF(Final_CB_O4_V5!$C$4:$C$523,C24)&gt;=1,"YES","NO")</f>
        <v>YES</v>
      </c>
      <c r="F24" s="4" t="str">
        <f aca="false">IFERROR(__xludf.dummyfunction("""COMPUTED_VALUE"""),"proposal::of::a::possible::fix::(link::review)::not::main::branch")</f>
        <v>proposal::of::a::possible::fix::(link::review)::not::main::branch</v>
      </c>
      <c r="G24" s="4" t="str">
        <f aca="false">IFERROR(__xludf.dummyfunction("""COMPUTED_VALUE"""),"links::blueprint")</f>
        <v>links::blueprint</v>
      </c>
      <c r="H24" s="4"/>
    </row>
    <row r="25" customFormat="false" ht="15.75" hidden="false" customHeight="false" outlineLevel="0" collapsed="false">
      <c r="A25" s="3" t="s">
        <v>1242</v>
      </c>
      <c r="B25" s="3" t="str">
        <f aca="false">IF(COUNTIF(Final_CB_O4_V5!$B$4:$B$523,A25)&gt;=1,"YES","NO")</f>
        <v>YES</v>
      </c>
      <c r="C25" s="3" t="s">
        <v>1243</v>
      </c>
      <c r="D25" s="3" t="str">
        <f aca="false">IF(COUNTIF(Final_CB_O4_V5!$C$4:$C$523,C25)&gt;=1,"YES","NO")</f>
        <v>YES</v>
      </c>
      <c r="F25" s="4" t="str">
        <f aca="false">IFERROR(__xludf.dummyfunction("""COMPUTED_VALUE"""),"proposed::change")</f>
        <v>proposed::change</v>
      </c>
      <c r="G25" s="4" t="str">
        <f aca="false">IFERROR(__xludf.dummyfunction("""COMPUTED_VALUE"""),"links::to::external::logs")</f>
        <v>links::to::external::logs</v>
      </c>
      <c r="H25" s="4"/>
    </row>
    <row r="26" customFormat="false" ht="15.75" hidden="false" customHeight="false" outlineLevel="0" collapsed="false">
      <c r="A26" s="3" t="s">
        <v>1235</v>
      </c>
      <c r="B26" s="3" t="str">
        <f aca="false">IF(COUNTIF(Final_CB_O4_V5!$B$4:$B$523,A26)&gt;=1,"YES","NO")</f>
        <v>YES</v>
      </c>
      <c r="C26" s="3" t="s">
        <v>1244</v>
      </c>
      <c r="D26" s="3" t="str">
        <f aca="false">IF(COUNTIF(Final_CB_O4_V5!$C$4:$C$523,C26)&gt;=1,"YES","NO")</f>
        <v>YES</v>
      </c>
      <c r="F26" s="4" t="str">
        <f aca="false">IFERROR(__xludf.dummyfunction("""COMPUTED_VALUE"""),"proposed::change::alternative2")</f>
        <v>proposed::change::alternative2</v>
      </c>
      <c r="G26" s="4" t="str">
        <f aca="false">IFERROR(__xludf.dummyfunction("""COMPUTED_VALUE"""),"missing::feature")</f>
        <v>missing::feature</v>
      </c>
      <c r="H26" s="4"/>
    </row>
    <row r="27" customFormat="false" ht="15.75" hidden="false" customHeight="false" outlineLevel="0" collapsed="false">
      <c r="A27" s="3" t="s">
        <v>1245</v>
      </c>
      <c r="B27" s="3" t="str">
        <f aca="false">IF(COUNTIF(Final_CB_O4_V5!$B$4:$B$523,A27)&gt;=1,"YES","NO")</f>
        <v>YES</v>
      </c>
      <c r="C27" s="3" t="s">
        <v>1246</v>
      </c>
      <c r="D27" s="3" t="str">
        <f aca="false">IF(COUNTIF(Final_CB_O4_V5!$C$4:$C$523,C27)&gt;=1,"YES","NO")</f>
        <v>YES</v>
      </c>
      <c r="F27" s="4" t="str">
        <f aca="false">IFERROR(__xludf.dummyfunction("""COMPUTED_VALUE"""),"responsibilities::(assignees)")</f>
        <v>responsibilities::(assignees)</v>
      </c>
      <c r="G27" s="4" t="str">
        <f aca="false">IFERROR(__xludf.dummyfunction("""COMPUTED_VALUE"""),"project::priority::(none)")</f>
        <v>project::priority::(none)</v>
      </c>
      <c r="H27" s="4"/>
    </row>
    <row r="28" customFormat="false" ht="15.75" hidden="false" customHeight="false" outlineLevel="0" collapsed="false">
      <c r="A28" s="3" t="s">
        <v>1236</v>
      </c>
      <c r="B28" s="3" t="str">
        <f aca="false">IF(COUNTIF(Final_CB_O4_V5!$B$4:$B$523,A28)&gt;=1,"YES","NO")</f>
        <v>YES</v>
      </c>
      <c r="C28" s="3" t="s">
        <v>1247</v>
      </c>
      <c r="D28" s="3" t="str">
        <f aca="false">IF(COUNTIF(Final_CB_O4_V5!$C$4:$C$523,C28)&gt;=1,"YES","NO")</f>
        <v>YES</v>
      </c>
      <c r="F28" s="4" t="str">
        <f aca="false">IFERROR(__xludf.dummyfunction("""COMPUTED_VALUE"""),"scope::of::BP")</f>
        <v>scope::of::BP</v>
      </c>
      <c r="G28" s="4" t="str">
        <f aca="false">IFERROR(__xludf.dummyfunction("""COMPUTED_VALUE"""),"subtask::priorities")</f>
        <v>subtask::priorities</v>
      </c>
      <c r="H28" s="4"/>
    </row>
    <row r="29" customFormat="false" ht="15.75" hidden="false" customHeight="false" outlineLevel="0" collapsed="false">
      <c r="A29" s="3" t="s">
        <v>1248</v>
      </c>
      <c r="B29" s="3" t="str">
        <f aca="false">IF(COUNTIF(Final_CB_O4_V5!$B$4:$B$523,A29)&gt;=1,"YES","NO")</f>
        <v>YES</v>
      </c>
      <c r="C29" s="3" t="s">
        <v>1249</v>
      </c>
      <c r="D29" s="3" t="str">
        <f aca="false">IF(COUNTIF(Final_CB_O4_V5!$C$4:$C$523,C29)&gt;=1,"YES","NO")</f>
        <v>YES</v>
      </c>
      <c r="F29" s="4" t="str">
        <f aca="false">IFERROR(__xludf.dummyfunction("""COMPUTED_VALUE"""),"steps::to::follow::BP")</f>
        <v>steps::to::follow::BP</v>
      </c>
      <c r="G29" s="4" t="str">
        <f aca="false">IFERROR(__xludf.dummyfunction("""COMPUTED_VALUE"""),"testing")</f>
        <v>testing</v>
      </c>
      <c r="H29" s="4"/>
    </row>
    <row r="30" customFormat="false" ht="15.75" hidden="false" customHeight="false" outlineLevel="0" collapsed="false">
      <c r="A30" s="3" t="s">
        <v>1237</v>
      </c>
      <c r="B30" s="3" t="str">
        <f aca="false">IF(COUNTIF(Final_CB_O4_V5!$B$4:$B$523,A30)&gt;=1,"YES","NO")</f>
        <v>YES</v>
      </c>
      <c r="C30" s="3" t="s">
        <v>1250</v>
      </c>
      <c r="D30" s="3" t="str">
        <f aca="false">IF(COUNTIF(Final_CB_O4_V5!$C$4:$C$523,C30)&gt;=1,"YES","NO")</f>
        <v>YES</v>
      </c>
      <c r="F30" s="4" t="str">
        <f aca="false">IFERROR(__xludf.dummyfunction("""COMPUTED_VALUE"""),"summary::problem")</f>
        <v>summary::problem</v>
      </c>
      <c r="G30" s="4" t="str">
        <f aca="false">IFERROR(__xludf.dummyfunction("""COMPUTED_VALUE"""),"testing::(tempest::tests)")</f>
        <v>testing::(tempest::tests)</v>
      </c>
      <c r="H30" s="4"/>
    </row>
    <row r="31" customFormat="false" ht="15.75" hidden="false" customHeight="false" outlineLevel="0" collapsed="false">
      <c r="A31" s="3" t="s">
        <v>1251</v>
      </c>
      <c r="B31" s="3" t="str">
        <f aca="false">IF(COUNTIF(Final_CB_O4_V5!$B$4:$B$523,A31)&gt;=1,"YES","NO")</f>
        <v>YES</v>
      </c>
      <c r="C31" s="3" t="s">
        <v>1252</v>
      </c>
      <c r="D31" s="3" t="str">
        <f aca="false">IF(COUNTIF(Final_CB_O4_V5!$C$4:$C$523,C31)&gt;=1,"YES","NO")</f>
        <v>YES</v>
      </c>
      <c r="F31" s="4" t="str">
        <f aca="false">IFERROR(__xludf.dummyfunction("""COMPUTED_VALUE"""),"units::of::work")</f>
        <v>units::of::work</v>
      </c>
      <c r="G31" s="4" t="str">
        <f aca="false">IFERROR(__xludf.dummyfunction("""COMPUTED_VALUE"""),"testing::(unit::tests)")</f>
        <v>testing::(unit::tests)</v>
      </c>
      <c r="H31" s="4"/>
    </row>
    <row r="32" customFormat="false" ht="15.75" hidden="false" customHeight="false" outlineLevel="0" collapsed="false">
      <c r="A32" s="3" t="s">
        <v>1238</v>
      </c>
      <c r="B32" s="3" t="str">
        <f aca="false">IF(COUNTIF(Final_CB_O4_V5!$B$4:$B$523,A32)&gt;=1,"YES","NO")</f>
        <v>YES</v>
      </c>
      <c r="C32" s="3" t="s">
        <v>1253</v>
      </c>
      <c r="D32" s="3" t="str">
        <f aca="false">IF(COUNTIF(Final_CB_O4_V5!$C$4:$C$523,C32)&gt;=1,"YES","NO")</f>
        <v>YES</v>
      </c>
      <c r="F32" s="4" t="str">
        <f aca="false">IFERROR(__xludf.dummyfunction("""COMPUTED_VALUE"""),"use::cases::of::the::BP")</f>
        <v>use::cases::of::the::BP</v>
      </c>
      <c r="G32" s="4" t="str">
        <f aca="false">IFERROR(__xludf.dummyfunction("""COMPUTED_VALUE"""),"undesired::behaviour")</f>
        <v>undesired::behaviour</v>
      </c>
      <c r="H32" s="4"/>
    </row>
    <row r="33" customFormat="false" ht="15.75" hidden="false" customHeight="false" outlineLevel="0" collapsed="false">
      <c r="A33" s="3" t="s">
        <v>1254</v>
      </c>
      <c r="B33" s="3" t="str">
        <f aca="false">IF(COUNTIF(Final_CB_O4_V5!$B$4:$B$523,A33)&gt;=1,"YES","NO")</f>
        <v>YES</v>
      </c>
      <c r="C33" s="3" t="s">
        <v>164</v>
      </c>
      <c r="D33" s="3" t="str">
        <f aca="false">IF(COUNTIF(Final_CB_O4_V5!$C$4:$C$523,C33)&gt;=1,"YES","NO")</f>
        <v>YES</v>
      </c>
      <c r="F33" s="4" t="str">
        <f aca="false">IFERROR(__xludf.dummyfunction("""COMPUTED_VALUE"""),"what::is::the::bug::causing")</f>
        <v>what::is::the::bug::causing</v>
      </c>
      <c r="G33" s="4" t="str">
        <f aca="false">IFERROR(__xludf.dummyfunction("""COMPUTED_VALUE"""),"version::of::nova:::in::which::the::bug::was::found")</f>
        <v>version::of::nova:::in::which::the::bug::was::found</v>
      </c>
      <c r="H33" s="4"/>
    </row>
    <row r="34" customFormat="false" ht="15.75" hidden="false" customHeight="false" outlineLevel="0" collapsed="false">
      <c r="A34" s="3" t="s">
        <v>1240</v>
      </c>
      <c r="B34" s="3" t="str">
        <f aca="false">IF(COUNTIF(Final_CB_O4_V5!$B$4:$B$523,A34)&gt;=1,"YES","NO")</f>
        <v>YES</v>
      </c>
      <c r="C34" s="3" t="s">
        <v>168</v>
      </c>
      <c r="D34" s="3" t="str">
        <f aca="false">IF(COUNTIF(Final_CB_O4_V5!$C$4:$C$523,C34)&gt;=1,"YES","NO")</f>
        <v>YES</v>
      </c>
      <c r="G34" s="4"/>
      <c r="H34" s="4"/>
    </row>
    <row r="35" customFormat="false" ht="15.75" hidden="false" customHeight="false" outlineLevel="0" collapsed="false">
      <c r="A35" s="3" t="s">
        <v>1255</v>
      </c>
      <c r="B35" s="3" t="str">
        <f aca="false">IF(COUNTIF(Final_CB_O4_V5!$B$4:$B$523,A35)&gt;=1,"YES","NO")</f>
        <v>YES</v>
      </c>
      <c r="C35" s="3" t="s">
        <v>170</v>
      </c>
      <c r="D35" s="3" t="str">
        <f aca="false">IF(COUNTIF(Final_CB_O4_V5!$C$4:$C$523,C35)&gt;=1,"YES","NO")</f>
        <v>YES</v>
      </c>
      <c r="G35" s="4"/>
      <c r="H35" s="4"/>
    </row>
    <row r="36" customFormat="false" ht="15.75" hidden="false" customHeight="false" outlineLevel="0" collapsed="false">
      <c r="A36" s="3" t="s">
        <v>1241</v>
      </c>
      <c r="B36" s="3" t="str">
        <f aca="false">IF(COUNTIF(Final_CB_O4_V5!$B$4:$B$523,A36)&gt;=1,"YES","NO")</f>
        <v>YES</v>
      </c>
      <c r="C36" s="3" t="s">
        <v>1256</v>
      </c>
      <c r="D36" s="3" t="str">
        <f aca="false">IF(COUNTIF(Final_CB_O4_V5!$C$4:$C$523,C36)&gt;=1,"YES","NO")</f>
        <v>YES</v>
      </c>
      <c r="G36" s="4"/>
      <c r="H36" s="4"/>
    </row>
    <row r="37" customFormat="false" ht="15.75" hidden="false" customHeight="false" outlineLevel="0" collapsed="false">
      <c r="A37" s="3" t="s">
        <v>1257</v>
      </c>
      <c r="B37" s="3" t="str">
        <f aca="false">IF(COUNTIF(Final_CB_O4_V5!$B$4:$B$523,A37)&gt;=1,"YES","NO")</f>
        <v>YES</v>
      </c>
      <c r="C37" s="3" t="s">
        <v>1258</v>
      </c>
      <c r="D37" s="3" t="str">
        <f aca="false">IF(COUNTIF(Final_CB_O4_V5!$C$4:$C$523,C37)&gt;=1,"YES","NO")</f>
        <v>YES</v>
      </c>
      <c r="G37" s="4"/>
      <c r="H37" s="4"/>
    </row>
    <row r="38" customFormat="false" ht="15.75" hidden="false" customHeight="false" outlineLevel="0" collapsed="false">
      <c r="A38" s="3" t="s">
        <v>1243</v>
      </c>
      <c r="B38" s="3" t="str">
        <f aca="false">IF(COUNTIF(Final_CB_O4_V5!$B$4:$B$523,A38)&gt;=1,"YES","NO")</f>
        <v>YES</v>
      </c>
      <c r="C38" s="3" t="s">
        <v>1259</v>
      </c>
      <c r="D38" s="3" t="str">
        <f aca="false">IF(COUNTIF(Final_CB_O4_V5!$C$4:$C$523,C38)&gt;=1,"YES","NO")</f>
        <v>YES</v>
      </c>
      <c r="G38" s="4"/>
      <c r="H38" s="4"/>
    </row>
    <row r="39" customFormat="false" ht="15.75" hidden="false" customHeight="false" outlineLevel="0" collapsed="false">
      <c r="A39" s="3" t="s">
        <v>1260</v>
      </c>
      <c r="B39" s="3" t="str">
        <f aca="false">IF(COUNTIF(Final_CB_O4_V5!$B$4:$B$523,A39)&gt;=1,"YES","NO")</f>
        <v>YES</v>
      </c>
      <c r="C39" s="3" t="s">
        <v>1261</v>
      </c>
      <c r="D39" s="3" t="str">
        <f aca="false">IF(COUNTIF(Final_CB_O4_V5!$C$4:$C$523,C39)&gt;=1,"YES","NO")</f>
        <v>YES</v>
      </c>
      <c r="G39" s="4"/>
      <c r="H39" s="4"/>
    </row>
    <row r="40" customFormat="false" ht="15.75" hidden="false" customHeight="false" outlineLevel="0" collapsed="false">
      <c r="A40" s="3" t="s">
        <v>1262</v>
      </c>
      <c r="B40" s="3" t="str">
        <f aca="false">IF(COUNTIF(Final_CB_O4_V5!$B$4:$B$523,A40)&gt;=1,"YES","NO")</f>
        <v>YES</v>
      </c>
      <c r="C40" s="3" t="s">
        <v>1263</v>
      </c>
      <c r="D40" s="3" t="str">
        <f aca="false">IF(COUNTIF(Final_CB_O4_V5!$C$4:$C$523,C40)&gt;=1,"YES","NO")</f>
        <v>YES</v>
      </c>
      <c r="G40" s="4"/>
      <c r="H40" s="4"/>
    </row>
    <row r="41" customFormat="false" ht="15.75" hidden="false" customHeight="false" outlineLevel="0" collapsed="false">
      <c r="A41" s="3" t="s">
        <v>1264</v>
      </c>
      <c r="B41" s="3" t="str">
        <f aca="false">IF(COUNTIF(Final_CB_O4_V5!$B$4:$B$523,A41)&gt;=1,"YES","NO")</f>
        <v>YES</v>
      </c>
      <c r="C41" s="3" t="s">
        <v>1265</v>
      </c>
      <c r="D41" s="3" t="str">
        <f aca="false">IF(COUNTIF(Final_CB_O4_V5!$C$4:$C$523,C41)&gt;=1,"YES","NO")</f>
        <v>YES</v>
      </c>
      <c r="G41" s="4"/>
      <c r="H41" s="4"/>
    </row>
    <row r="42" customFormat="false" ht="15.75" hidden="false" customHeight="false" outlineLevel="0" collapsed="false">
      <c r="A42" s="3" t="s">
        <v>1244</v>
      </c>
      <c r="B42" s="3" t="str">
        <f aca="false">IF(COUNTIF(Final_CB_O4_V5!$B$4:$B$523,A42)&gt;=1,"YES","NO")</f>
        <v>YES</v>
      </c>
      <c r="C42" s="3" t="s">
        <v>1266</v>
      </c>
      <c r="D42" s="3" t="str">
        <f aca="false">IF(COUNTIF(Final_CB_O4_V5!$C$4:$C$523,C42)&gt;=1,"YES","NO")</f>
        <v>YES</v>
      </c>
      <c r="G42" s="4"/>
      <c r="H42" s="4"/>
    </row>
    <row r="43" customFormat="false" ht="15.75" hidden="false" customHeight="false" outlineLevel="0" collapsed="false">
      <c r="A43" s="3" t="s">
        <v>521</v>
      </c>
      <c r="B43" s="3" t="str">
        <f aca="false">IF(COUNTIF(Final_CB_O4_V5!$B$4:$B$523,A43)&gt;=1,"YES","NO")</f>
        <v>YES</v>
      </c>
      <c r="C43" s="3" t="s">
        <v>1267</v>
      </c>
      <c r="D43" s="3" t="str">
        <f aca="false">IF(COUNTIF(Final_CB_O4_V5!$C$4:$C$523,C43)&gt;=1,"YES","NO")</f>
        <v>YES</v>
      </c>
      <c r="G43" s="4"/>
      <c r="H43" s="4"/>
    </row>
    <row r="44" customFormat="false" ht="15.75" hidden="false" customHeight="false" outlineLevel="0" collapsed="false">
      <c r="A44" s="3" t="s">
        <v>1247</v>
      </c>
      <c r="B44" s="3" t="str">
        <f aca="false">IF(COUNTIF(Final_CB_O4_V5!$B$4:$B$523,A44)&gt;=1,"YES","NO")</f>
        <v>YES</v>
      </c>
      <c r="C44" s="3" t="s">
        <v>1268</v>
      </c>
      <c r="D44" s="3" t="str">
        <f aca="false">IF(COUNTIF(Final_CB_O4_V5!$C$4:$C$523,C44)&gt;=1,"YES","NO")</f>
        <v>YES</v>
      </c>
      <c r="G44" s="4"/>
      <c r="H44" s="4"/>
    </row>
    <row r="45" customFormat="false" ht="15.75" hidden="false" customHeight="false" outlineLevel="0" collapsed="false">
      <c r="A45" s="3" t="s">
        <v>1249</v>
      </c>
      <c r="B45" s="3" t="str">
        <f aca="false">IF(COUNTIF(Final_CB_O4_V5!$B$4:$B$523,A45)&gt;=1,"YES","NO")</f>
        <v>YES</v>
      </c>
      <c r="C45" s="3" t="s">
        <v>1269</v>
      </c>
      <c r="D45" s="3" t="str">
        <f aca="false">IF(COUNTIF(Final_CB_O4_V5!$C$4:$C$523,C45)&gt;=1,"YES","NO")</f>
        <v>YES</v>
      </c>
      <c r="G45" s="4"/>
      <c r="H45" s="4"/>
    </row>
    <row r="46" customFormat="false" ht="15.75" hidden="false" customHeight="false" outlineLevel="0" collapsed="false">
      <c r="A46" s="3" t="s">
        <v>1252</v>
      </c>
      <c r="B46" s="3" t="str">
        <f aca="false">IF(COUNTIF(Final_CB_O4_V5!$B$4:$B$523,A46)&gt;=1,"YES","NO")</f>
        <v>YES</v>
      </c>
      <c r="C46" s="3" t="s">
        <v>269</v>
      </c>
      <c r="D46" s="3" t="str">
        <f aca="false">IF(COUNTIF(Final_CB_O4_V5!$C$4:$C$523,C46)&gt;=1,"YES","NO")</f>
        <v>YES</v>
      </c>
      <c r="G46" s="4"/>
      <c r="H46" s="4"/>
    </row>
    <row r="47" customFormat="false" ht="15.75" hidden="false" customHeight="false" outlineLevel="0" collapsed="false">
      <c r="A47" s="3" t="s">
        <v>1253</v>
      </c>
      <c r="B47" s="3" t="str">
        <f aca="false">IF(COUNTIF(Final_CB_O4_V5!$B$4:$B$523,A47)&gt;=1,"YES","NO")</f>
        <v>YES</v>
      </c>
      <c r="D47" s="3" t="str">
        <f aca="false">IF(COUNTIF(Final_CB_O4_V5!$C$4:$C$523,C47)&gt;=1,"YES","NO")</f>
        <v>NO</v>
      </c>
      <c r="G47" s="4"/>
      <c r="H47" s="4"/>
    </row>
    <row r="48" customFormat="false" ht="15.75" hidden="false" customHeight="false" outlineLevel="0" collapsed="false">
      <c r="A48" s="3" t="s">
        <v>1270</v>
      </c>
      <c r="B48" s="3" t="str">
        <f aca="false">IF(COUNTIF(Final_CB_O4_V5!$B$4:$B$523,A48)&gt;=1,"YES","NO")</f>
        <v>YES</v>
      </c>
      <c r="D48" s="3" t="str">
        <f aca="false">IF(COUNTIF(Final_CB_O4_V5!$C$4:$C$523,C48)&gt;=1,"YES","NO")</f>
        <v>NO</v>
      </c>
      <c r="G48" s="4"/>
      <c r="H48" s="4"/>
    </row>
    <row r="49" customFormat="false" ht="15.75" hidden="false" customHeight="false" outlineLevel="0" collapsed="false">
      <c r="A49" s="3" t="s">
        <v>168</v>
      </c>
      <c r="B49" s="3" t="str">
        <f aca="false">IF(COUNTIF(Final_CB_O4_V5!$B$4:$B$523,A49)&gt;=1,"YES","NO")</f>
        <v>YES</v>
      </c>
      <c r="D49" s="3" t="str">
        <f aca="false">IF(COUNTIF(Final_CB_O4_V5!$C$4:$C$523,C49)&gt;=1,"YES","NO")</f>
        <v>NO</v>
      </c>
      <c r="G49" s="4"/>
      <c r="H49" s="4"/>
    </row>
    <row r="50" customFormat="false" ht="15.75" hidden="false" customHeight="false" outlineLevel="0" collapsed="false">
      <c r="A50" s="3" t="s">
        <v>170</v>
      </c>
      <c r="B50" s="3" t="str">
        <f aca="false">IF(COUNTIF(Final_CB_O4_V5!$B$4:$B$523,A50)&gt;=1,"YES","NO")</f>
        <v>YES</v>
      </c>
      <c r="D50" s="3" t="str">
        <f aca="false">IF(COUNTIF(Final_CB_O4_V5!$C$4:$C$523,C50)&gt;=1,"YES","NO")</f>
        <v>NO</v>
      </c>
      <c r="G50" s="4"/>
      <c r="H50" s="4"/>
    </row>
    <row r="51" customFormat="false" ht="15.75" hidden="false" customHeight="false" outlineLevel="0" collapsed="false">
      <c r="A51" s="3" t="s">
        <v>1256</v>
      </c>
      <c r="B51" s="3" t="str">
        <f aca="false">IF(COUNTIF(Final_CB_O4_V5!$B$4:$B$523,A51)&gt;=1,"YES","NO")</f>
        <v>YES</v>
      </c>
      <c r="D51" s="3" t="str">
        <f aca="false">IF(COUNTIF(Final_CB_O4_V5!$C$4:$C$523,C51)&gt;=1,"YES","NO")</f>
        <v>NO</v>
      </c>
      <c r="G51" s="4"/>
      <c r="H51" s="4"/>
    </row>
    <row r="52" customFormat="false" ht="15.75" hidden="false" customHeight="false" outlineLevel="0" collapsed="false">
      <c r="A52" s="3" t="s">
        <v>1258</v>
      </c>
      <c r="B52" s="3" t="str">
        <f aca="false">IF(COUNTIF(Final_CB_O4_V5!$B$4:$B$523,A52)&gt;=1,"YES","NO")</f>
        <v>YES</v>
      </c>
      <c r="D52" s="3" t="str">
        <f aca="false">IF(COUNTIF(Final_CB_O4_V5!$C$4:$C$523,C52)&gt;=1,"YES","NO")</f>
        <v>NO</v>
      </c>
      <c r="G52" s="4"/>
      <c r="H52" s="4"/>
    </row>
    <row r="53" customFormat="false" ht="15.75" hidden="false" customHeight="false" outlineLevel="0" collapsed="false">
      <c r="A53" s="3" t="s">
        <v>1261</v>
      </c>
      <c r="B53" s="3" t="str">
        <f aca="false">IF(COUNTIF(Final_CB_O4_V5!$B$4:$B$523,A53)&gt;=1,"YES","NO")</f>
        <v>YES</v>
      </c>
      <c r="D53" s="3" t="str">
        <f aca="false">IF(COUNTIF(Final_CB_O4_V5!$C$4:$C$523,C53)&gt;=1,"YES","NO")</f>
        <v>NO</v>
      </c>
      <c r="G53" s="4"/>
      <c r="H53" s="4"/>
    </row>
    <row r="54" customFormat="false" ht="15.75" hidden="false" customHeight="false" outlineLevel="0" collapsed="false">
      <c r="A54" s="3" t="s">
        <v>1263</v>
      </c>
      <c r="B54" s="3" t="str">
        <f aca="false">IF(COUNTIF(Final_CB_O4_V5!$B$4:$B$523,A54)&gt;=1,"YES","NO")</f>
        <v>YES</v>
      </c>
      <c r="D54" s="3" t="str">
        <f aca="false">IF(COUNTIF(Final_CB_O4_V5!$C$4:$C$523,C54)&gt;=1,"YES","NO")</f>
        <v>NO</v>
      </c>
      <c r="G54" s="4"/>
      <c r="H54" s="4"/>
    </row>
    <row r="55" customFormat="false" ht="15.75" hidden="false" customHeight="false" outlineLevel="0" collapsed="false">
      <c r="A55" s="3" t="s">
        <v>1266</v>
      </c>
      <c r="B55" s="3" t="str">
        <f aca="false">IF(COUNTIF(Final_CB_O4_V5!$B$4:$B$523,A55)&gt;=1,"YES","NO")</f>
        <v>YES</v>
      </c>
      <c r="D55" s="3" t="str">
        <f aca="false">IF(COUNTIF(Final_CB_O4_V5!$C$4:$C$523,C55)&gt;=1,"YES","NO")</f>
        <v>NO</v>
      </c>
      <c r="G55" s="4"/>
      <c r="H55" s="4"/>
    </row>
    <row r="56" customFormat="false" ht="15.75" hidden="false" customHeight="false" outlineLevel="0" collapsed="false">
      <c r="A56" s="3" t="s">
        <v>1271</v>
      </c>
      <c r="B56" s="3" t="str">
        <f aca="false">IF(COUNTIF(Final_CB_O4_V5!$B$4:$B$523,A56)&gt;=1,"YES","NO")</f>
        <v>YES</v>
      </c>
      <c r="D56" s="3" t="str">
        <f aca="false">IF(COUNTIF(Final_CB_O4_V5!$C$4:$C$523,C56)&gt;=1,"YES","NO")</f>
        <v>NO</v>
      </c>
      <c r="G56" s="4"/>
      <c r="H56" s="4"/>
    </row>
    <row r="57" customFormat="false" ht="15.75" hidden="false" customHeight="false" outlineLevel="0" collapsed="false">
      <c r="A57" s="3" t="s">
        <v>1267</v>
      </c>
      <c r="B57" s="3" t="str">
        <f aca="false">IF(COUNTIF(Final_CB_O4_V5!$B$4:$B$523,A57)&gt;=1,"YES","NO")</f>
        <v>YES</v>
      </c>
      <c r="D57" s="3" t="str">
        <f aca="false">IF(COUNTIF(Final_CB_O4_V5!$C$4:$C$523,C57)&gt;=1,"YES","NO")</f>
        <v>NO</v>
      </c>
      <c r="G57" s="4"/>
      <c r="H57" s="4"/>
    </row>
    <row r="58" customFormat="false" ht="15.75" hidden="false" customHeight="false" outlineLevel="0" collapsed="false">
      <c r="A58" s="3" t="s">
        <v>1272</v>
      </c>
      <c r="B58" s="3" t="str">
        <f aca="false">IF(COUNTIF(Final_CB_O4_V5!$B$4:$B$523,A58)&gt;=1,"YES","NO")</f>
        <v>YES</v>
      </c>
      <c r="D58" s="3" t="str">
        <f aca="false">IF(COUNTIF(Final_CB_O4_V5!$C$4:$C$523,C58)&gt;=1,"YES","NO")</f>
        <v>NO</v>
      </c>
      <c r="G58" s="4"/>
      <c r="H58" s="4"/>
    </row>
    <row r="59" customFormat="false" ht="15.75" hidden="false" customHeight="false" outlineLevel="0" collapsed="false">
      <c r="A59" s="3" t="s">
        <v>1273</v>
      </c>
      <c r="B59" s="3" t="str">
        <f aca="false">IF(COUNTIF(Final_CB_O4_V5!$B$4:$B$523,A59)&gt;=1,"YES","NO")</f>
        <v>YES</v>
      </c>
      <c r="D59" s="3" t="str">
        <f aca="false">IF(COUNTIF(Final_CB_O4_V5!$C$4:$C$523,C59)&gt;=1,"YES","NO")</f>
        <v>NO</v>
      </c>
      <c r="G59" s="4"/>
      <c r="H59" s="4"/>
    </row>
    <row r="60" customFormat="false" ht="15.75" hidden="false" customHeight="false" outlineLevel="0" collapsed="false">
      <c r="A60" s="3" t="s">
        <v>1274</v>
      </c>
      <c r="B60" s="3" t="str">
        <f aca="false">IF(COUNTIF(Final_CB_O4_V5!$B$4:$B$523,A60)&gt;=1,"YES","NO")</f>
        <v>YES</v>
      </c>
      <c r="D60" s="3" t="str">
        <f aca="false">IF(COUNTIF(Final_CB_O4_V5!$C$4:$C$523,C60)&gt;=1,"YES","NO")</f>
        <v>NO</v>
      </c>
      <c r="G60" s="4"/>
      <c r="H60" s="4"/>
    </row>
    <row r="61" customFormat="false" ht="15.75" hidden="false" customHeight="false" outlineLevel="0" collapsed="false">
      <c r="A61" s="3" t="s">
        <v>271</v>
      </c>
      <c r="B61" s="3" t="str">
        <f aca="false">IF(COUNTIF(Final_CB_O4_V5!$B$4:$B$523,A61)&gt;=1,"YES","NO")</f>
        <v>YES</v>
      </c>
      <c r="D61" s="3" t="str">
        <f aca="false">IF(COUNTIF(Final_CB_O4_V5!$C$4:$C$523,C61)&gt;=1,"YES","NO")</f>
        <v>NO</v>
      </c>
      <c r="G61" s="4"/>
      <c r="H61" s="4"/>
    </row>
    <row r="62" customFormat="false" ht="15.75" hidden="false" customHeight="false" outlineLevel="0" collapsed="false">
      <c r="A62" s="3" t="s">
        <v>1268</v>
      </c>
      <c r="B62" s="3" t="str">
        <f aca="false">IF(COUNTIF(Final_CB_O4_V5!$B$4:$B$523,A62)&gt;=1,"YES","NO")</f>
        <v>YES</v>
      </c>
      <c r="D62" s="3" t="str">
        <f aca="false">IF(COUNTIF(Final_CB_O4_V5!$C$4:$C$523,C62)&gt;=1,"YES","NO")</f>
        <v>NO</v>
      </c>
      <c r="G62" s="4"/>
      <c r="H62" s="4"/>
    </row>
    <row r="63" customFormat="false" ht="15.75" hidden="false" customHeight="false" outlineLevel="0" collapsed="false">
      <c r="A63" s="3" t="s">
        <v>1269</v>
      </c>
      <c r="B63" s="3" t="str">
        <f aca="false">IF(COUNTIF(Final_CB_O4_V5!$B$4:$B$523,A63)&gt;=1,"YES","NO")</f>
        <v>YES</v>
      </c>
      <c r="D63" s="3" t="str">
        <f aca="false">IF(COUNTIF(Final_CB_O4_V5!$C$4:$C$523,C63)&gt;=1,"YES","NO")</f>
        <v>NO</v>
      </c>
      <c r="G63" s="4"/>
      <c r="H63" s="4"/>
    </row>
    <row r="64" customFormat="false" ht="15.75" hidden="false" customHeight="false" outlineLevel="0" collapsed="false">
      <c r="A64" s="3" t="s">
        <v>265</v>
      </c>
      <c r="B64" s="3" t="str">
        <f aca="false">IF(COUNTIF(Final_CB_O4_V5!$B$4:$B$523,A64)&gt;=1,"YES","NO")</f>
        <v>YES</v>
      </c>
      <c r="D64" s="3" t="str">
        <f aca="false">IF(COUNTIF(Final_CB_O4_V5!$C$4:$C$523,C64)&gt;=1,"YES","NO")</f>
        <v>NO</v>
      </c>
      <c r="G64" s="4"/>
      <c r="H64" s="4"/>
    </row>
    <row r="65" customFormat="false" ht="15.75" hidden="false" customHeight="false" outlineLevel="0" collapsed="false">
      <c r="A65" s="3" t="s">
        <v>269</v>
      </c>
      <c r="B65" s="3" t="str">
        <f aca="false">IF(COUNTIF(Final_CB_O4_V5!$B$4:$B$523,A65)&gt;=1,"YES","NO")</f>
        <v>YES</v>
      </c>
      <c r="D65" s="3" t="str">
        <f aca="false">IF(COUNTIF(Final_CB_O4_V5!$C$4:$C$523,C65)&gt;=1,"YES","NO")</f>
        <v>NO</v>
      </c>
      <c r="G65" s="4"/>
      <c r="H65" s="4"/>
    </row>
    <row r="66" customFormat="false" ht="15.75" hidden="false" customHeight="false" outlineLevel="0" collapsed="false">
      <c r="B66" s="3" t="str">
        <f aca="false">IF(COUNTIF(Final_CB_O4_V5!$B$4:$B$523,A66)&gt;=1,"YES","NO")</f>
        <v>NO</v>
      </c>
      <c r="D66" s="3" t="str">
        <f aca="false">IF(COUNTIF(Final_CB_O4_V5!$C$4:$C$523,C66)&gt;=1,"YES","NO")</f>
        <v>NO</v>
      </c>
      <c r="G66" s="4"/>
      <c r="H66" s="4"/>
    </row>
    <row r="67" customFormat="false" ht="15.75" hidden="false" customHeight="false" outlineLevel="0" collapsed="false">
      <c r="B67" s="3" t="str">
        <f aca="false">IF(COUNTIF(Final_CB_O4_V5!$B$4:$B$523,A67)&gt;=1,"YES","NO")</f>
        <v>NO</v>
      </c>
      <c r="D67" s="3" t="str">
        <f aca="false">IF(COUNTIF(Final_CB_O4_V5!$C$4:$C$523,C67)&gt;=1,"YES","NO")</f>
        <v>NO</v>
      </c>
      <c r="G67" s="4"/>
      <c r="H67" s="4"/>
    </row>
    <row r="68" customFormat="false" ht="15.75" hidden="false" customHeight="false" outlineLevel="0" collapsed="false">
      <c r="B68" s="3" t="str">
        <f aca="false">IF(COUNTIF(Final_CB_O4_V5!$B$4:$B$523,A68)&gt;=1,"YES","NO")</f>
        <v>NO</v>
      </c>
      <c r="D68" s="3" t="str">
        <f aca="false">IF(COUNTIF(Final_CB_O4_V5!$C$4:$C$523,C68)&gt;=1,"YES","NO")</f>
        <v>NO</v>
      </c>
      <c r="G68" s="4"/>
      <c r="H68" s="4"/>
    </row>
    <row r="69" customFormat="false" ht="15.75" hidden="false" customHeight="false" outlineLevel="0" collapsed="false">
      <c r="B69" s="3" t="str">
        <f aca="false">IF(COUNTIF(Final_CB_O4_V5!$B$4:$B$523,A69)&gt;=1,"YES","NO")</f>
        <v>NO</v>
      </c>
      <c r="D69" s="3" t="str">
        <f aca="false">IF(COUNTIF(Final_CB_O4_V5!$C$4:$C$523,C69)&gt;=1,"YES","NO")</f>
        <v>NO</v>
      </c>
      <c r="G69" s="4"/>
      <c r="H69" s="4"/>
    </row>
    <row r="70" customFormat="false" ht="15.75" hidden="false" customHeight="false" outlineLevel="0" collapsed="false">
      <c r="B70" s="3" t="str">
        <f aca="false">IF(COUNTIF(Final_CB_O4_V5!$B$4:$B$523,A70)&gt;=1,"YES","NO")</f>
        <v>NO</v>
      </c>
      <c r="D70" s="3" t="str">
        <f aca="false">IF(COUNTIF(Final_CB_O4_V5!$C$4:$C$523,C70)&gt;=1,"YES","NO")</f>
        <v>NO</v>
      </c>
      <c r="G70" s="4"/>
      <c r="H70" s="4"/>
    </row>
    <row r="71" customFormat="false" ht="15.75" hidden="false" customHeight="false" outlineLevel="0" collapsed="false">
      <c r="B71" s="3" t="str">
        <f aca="false">IF(COUNTIF(Final_CB_O4_V5!$B$4:$B$523,A71)&gt;=1,"YES","NO")</f>
        <v>NO</v>
      </c>
      <c r="D71" s="3" t="str">
        <f aca="false">IF(COUNTIF(Final_CB_O4_V5!$C$4:$C$523,C71)&gt;=1,"YES","NO")</f>
        <v>NO</v>
      </c>
      <c r="G71" s="4"/>
      <c r="H71" s="4"/>
    </row>
    <row r="72" customFormat="false" ht="15.75" hidden="false" customHeight="false" outlineLevel="0" collapsed="false">
      <c r="B72" s="3" t="str">
        <f aca="false">IF(COUNTIF(Final_CB_O4_V5!$B$4:$B$523,A72)&gt;=1,"YES","NO")</f>
        <v>NO</v>
      </c>
      <c r="D72" s="3" t="str">
        <f aca="false">IF(COUNTIF(Final_CB_O4_V5!$C$4:$C$523,C72)&gt;=1,"YES","NO")</f>
        <v>NO</v>
      </c>
      <c r="G72" s="4"/>
      <c r="H72" s="4"/>
    </row>
    <row r="73" customFormat="false" ht="15.75" hidden="false" customHeight="false" outlineLevel="0" collapsed="false">
      <c r="B73" s="3" t="str">
        <f aca="false">IF(COUNTIF(Final_CB_O4_V5!$B$4:$B$523,A73)&gt;=1,"YES","NO")</f>
        <v>NO</v>
      </c>
      <c r="D73" s="3" t="str">
        <f aca="false">IF(COUNTIF(Final_CB_O4_V5!$C$4:$C$523,C73)&gt;=1,"YES","NO")</f>
        <v>NO</v>
      </c>
      <c r="G73" s="4"/>
      <c r="H73" s="4"/>
    </row>
    <row r="74" customFormat="false" ht="15.75" hidden="false" customHeight="false" outlineLevel="0" collapsed="false">
      <c r="B74" s="3" t="str">
        <f aca="false">IF(COUNTIF(Final_CB_O4_V5!$B$4:$B$523,A74)&gt;=1,"YES","NO")</f>
        <v>NO</v>
      </c>
      <c r="D74" s="3" t="str">
        <f aca="false">IF(COUNTIF(Final_CB_O4_V5!$C$4:$C$523,C74)&gt;=1,"YES","NO")</f>
        <v>NO</v>
      </c>
      <c r="G74" s="4"/>
      <c r="H74" s="4"/>
    </row>
    <row r="75" customFormat="false" ht="15.75" hidden="false" customHeight="false" outlineLevel="0" collapsed="false">
      <c r="B75" s="3" t="str">
        <f aca="false">IF(COUNTIF(Final_CB_O4_V5!$B$4:$B$523,A75)&gt;=1,"YES","NO")</f>
        <v>NO</v>
      </c>
      <c r="D75" s="3" t="str">
        <f aca="false">IF(COUNTIF(Final_CB_O4_V5!$C$4:$C$523,C75)&gt;=1,"YES","NO")</f>
        <v>NO</v>
      </c>
      <c r="G75" s="4"/>
      <c r="H75" s="4"/>
    </row>
    <row r="76" customFormat="false" ht="15.75" hidden="false" customHeight="false" outlineLevel="0" collapsed="false">
      <c r="B76" s="3" t="str">
        <f aca="false">IF(COUNTIF(Final_CB_O4_V5!$B$4:$B$523,A76)&gt;=1,"YES","NO")</f>
        <v>NO</v>
      </c>
      <c r="D76" s="3" t="str">
        <f aca="false">IF(COUNTIF(Final_CB_O4_V5!$C$4:$C$523,C76)&gt;=1,"YES","NO")</f>
        <v>NO</v>
      </c>
      <c r="G76" s="4"/>
      <c r="H76" s="4"/>
    </row>
    <row r="77" customFormat="false" ht="15.75" hidden="false" customHeight="false" outlineLevel="0" collapsed="false">
      <c r="B77" s="3" t="str">
        <f aca="false">IF(COUNTIF(Final_CB_O4_V5!$B$4:$B$523,A77)&gt;=1,"YES","NO")</f>
        <v>NO</v>
      </c>
      <c r="D77" s="3" t="str">
        <f aca="false">IF(COUNTIF(Final_CB_O4_V5!$C$4:$C$523,C77)&gt;=1,"YES","NO")</f>
        <v>NO</v>
      </c>
      <c r="G77" s="4"/>
      <c r="H77" s="4"/>
    </row>
    <row r="78" customFormat="false" ht="15.75" hidden="false" customHeight="false" outlineLevel="0" collapsed="false">
      <c r="B78" s="3" t="str">
        <f aca="false">IF(COUNTIF(Final_CB_O4_V5!$B$4:$B$523,A78)&gt;=1,"YES","NO")</f>
        <v>NO</v>
      </c>
      <c r="D78" s="3" t="str">
        <f aca="false">IF(COUNTIF(Final_CB_O4_V5!$C$4:$C$523,C78)&gt;=1,"YES","NO")</f>
        <v>NO</v>
      </c>
      <c r="G78" s="4"/>
      <c r="H78" s="4"/>
    </row>
    <row r="79" customFormat="false" ht="15.75" hidden="false" customHeight="false" outlineLevel="0" collapsed="false">
      <c r="B79" s="3" t="str">
        <f aca="false">IF(COUNTIF(Final_CB_O4_V5!$B$4:$B$523,A79)&gt;=1,"YES","NO")</f>
        <v>NO</v>
      </c>
      <c r="D79" s="3" t="str">
        <f aca="false">IF(COUNTIF(Final_CB_O4_V5!$C$4:$C$523,C79)&gt;=1,"YES","NO")</f>
        <v>NO</v>
      </c>
      <c r="G79" s="4"/>
      <c r="H79" s="4"/>
    </row>
    <row r="80" customFormat="false" ht="15.75" hidden="false" customHeight="false" outlineLevel="0" collapsed="false">
      <c r="B80" s="3" t="str">
        <f aca="false">IF(COUNTIF(Final_CB_O4_V5!$B$4:$B$523,A80)&gt;=1,"YES","NO")</f>
        <v>NO</v>
      </c>
      <c r="D80" s="3" t="str">
        <f aca="false">IF(COUNTIF(Final_CB_O4_V5!$C$4:$C$523,C80)&gt;=1,"YES","NO")</f>
        <v>NO</v>
      </c>
      <c r="G80" s="4"/>
      <c r="H80" s="4"/>
    </row>
    <row r="81" customFormat="false" ht="15.75" hidden="false" customHeight="false" outlineLevel="0" collapsed="false">
      <c r="B81" s="3" t="str">
        <f aca="false">IF(COUNTIF(Final_CB_O4_V5!$B$4:$B$523,A81)&gt;=1,"YES","NO")</f>
        <v>NO</v>
      </c>
      <c r="D81" s="3" t="str">
        <f aca="false">IF(COUNTIF(Final_CB_O4_V5!$C$4:$C$523,C81)&gt;=1,"YES","NO")</f>
        <v>NO</v>
      </c>
      <c r="G81" s="4"/>
      <c r="H81" s="4"/>
    </row>
    <row r="82" customFormat="false" ht="15.75" hidden="false" customHeight="false" outlineLevel="0" collapsed="false">
      <c r="B82" s="3" t="str">
        <f aca="false">IF(COUNTIF(Final_CB_O4_V5!$B$4:$B$523,A82)&gt;=1,"YES","NO")</f>
        <v>NO</v>
      </c>
      <c r="D82" s="3" t="str">
        <f aca="false">IF(COUNTIF(Final_CB_O4_V5!$C$4:$C$523,C82)&gt;=1,"YES","NO")</f>
        <v>NO</v>
      </c>
      <c r="G82" s="4"/>
      <c r="H82" s="4"/>
    </row>
    <row r="83" customFormat="false" ht="15.75" hidden="false" customHeight="false" outlineLevel="0" collapsed="false">
      <c r="B83" s="3" t="str">
        <f aca="false">IF(COUNTIF(Final_CB_O4_V5!$B$4:$B$523,A83)&gt;=1,"YES","NO")</f>
        <v>NO</v>
      </c>
      <c r="D83" s="3" t="str">
        <f aca="false">IF(COUNTIF(Final_CB_O4_V5!$C$4:$C$523,C83)&gt;=1,"YES","NO")</f>
        <v>NO</v>
      </c>
      <c r="G83" s="4"/>
      <c r="H83" s="4"/>
    </row>
    <row r="84" customFormat="false" ht="15.75" hidden="false" customHeight="false" outlineLevel="0" collapsed="false">
      <c r="B84" s="3" t="str">
        <f aca="false">IF(COUNTIF(Final_CB_O4_V5!$B$4:$B$523,A84)&gt;=1,"YES","NO")</f>
        <v>NO</v>
      </c>
      <c r="D84" s="3" t="str">
        <f aca="false">IF(COUNTIF(Final_CB_O4_V5!$C$4:$C$523,C84)&gt;=1,"YES","NO")</f>
        <v>NO</v>
      </c>
      <c r="G84" s="4"/>
      <c r="H84" s="4"/>
    </row>
    <row r="85" customFormat="false" ht="15.75" hidden="false" customHeight="false" outlineLevel="0" collapsed="false">
      <c r="B85" s="3" t="str">
        <f aca="false">IF(COUNTIF(Final_CB_O4_V5!$B$4:$B$523,A85)&gt;=1,"YES","NO")</f>
        <v>NO</v>
      </c>
      <c r="D85" s="3" t="str">
        <f aca="false">IF(COUNTIF(Final_CB_O4_V5!$C$4:$C$523,C85)&gt;=1,"YES","NO")</f>
        <v>NO</v>
      </c>
      <c r="G85" s="4"/>
      <c r="H85" s="4"/>
    </row>
    <row r="86" customFormat="false" ht="15.75" hidden="false" customHeight="false" outlineLevel="0" collapsed="false">
      <c r="B86" s="3" t="str">
        <f aca="false">IF(COUNTIF(Final_CB_O4_V5!$B$4:$B$523,A86)&gt;=1,"YES","NO")</f>
        <v>NO</v>
      </c>
      <c r="D86" s="3" t="str">
        <f aca="false">IF(COUNTIF(Final_CB_O4_V5!$C$4:$C$523,C86)&gt;=1,"YES","NO")</f>
        <v>NO</v>
      </c>
      <c r="G86" s="4"/>
      <c r="H86" s="4"/>
    </row>
    <row r="87" customFormat="false" ht="15.75" hidden="false" customHeight="false" outlineLevel="0" collapsed="false">
      <c r="B87" s="3" t="str">
        <f aca="false">IF(COUNTIF(Final_CB_O4_V5!$B$4:$B$523,A87)&gt;=1,"YES","NO")</f>
        <v>NO</v>
      </c>
      <c r="D87" s="3" t="str">
        <f aca="false">IF(COUNTIF(Final_CB_O4_V5!$C$4:$C$523,C87)&gt;=1,"YES","NO")</f>
        <v>NO</v>
      </c>
      <c r="G87" s="4"/>
      <c r="H87" s="4"/>
    </row>
    <row r="88" customFormat="false" ht="15.75" hidden="false" customHeight="false" outlineLevel="0" collapsed="false">
      <c r="B88" s="3" t="str">
        <f aca="false">IF(COUNTIF(Final_CB_O4_V5!$B$4:$B$523,A88)&gt;=1,"YES","NO")</f>
        <v>NO</v>
      </c>
      <c r="D88" s="3" t="str">
        <f aca="false">IF(COUNTIF(Final_CB_O4_V5!$C$4:$C$523,C88)&gt;=1,"YES","NO")</f>
        <v>NO</v>
      </c>
      <c r="G88" s="4"/>
      <c r="H88" s="4"/>
    </row>
    <row r="89" customFormat="false" ht="15.75" hidden="false" customHeight="false" outlineLevel="0" collapsed="false">
      <c r="B89" s="3" t="str">
        <f aca="false">IF(COUNTIF(Final_CB_O4_V5!$B$4:$B$523,A89)&gt;=1,"YES","NO")</f>
        <v>NO</v>
      </c>
      <c r="D89" s="3" t="str">
        <f aca="false">IF(COUNTIF(Final_CB_O4_V5!$C$4:$C$523,C89)&gt;=1,"YES","NO")</f>
        <v>NO</v>
      </c>
      <c r="G89" s="4"/>
      <c r="H89" s="4"/>
    </row>
    <row r="90" customFormat="false" ht="15.75" hidden="false" customHeight="false" outlineLevel="0" collapsed="false">
      <c r="B90" s="3" t="str">
        <f aca="false">IF(COUNTIF(Final_CB_O4_V5!$B$4:$B$523,A90)&gt;=1,"YES","NO")</f>
        <v>NO</v>
      </c>
      <c r="D90" s="3" t="str">
        <f aca="false">IF(COUNTIF(Final_CB_O4_V5!$C$4:$C$523,C90)&gt;=1,"YES","NO")</f>
        <v>NO</v>
      </c>
      <c r="G90" s="4"/>
      <c r="H90" s="4"/>
    </row>
    <row r="91" customFormat="false" ht="15.75" hidden="false" customHeight="false" outlineLevel="0" collapsed="false">
      <c r="B91" s="3" t="str">
        <f aca="false">IF(COUNTIF(Final_CB_O4_V5!$B$4:$B$523,A91)&gt;=1,"YES","NO")</f>
        <v>NO</v>
      </c>
      <c r="D91" s="3" t="str">
        <f aca="false">IF(COUNTIF(Final_CB_O4_V5!$C$4:$C$523,C91)&gt;=1,"YES","NO")</f>
        <v>NO</v>
      </c>
      <c r="G91" s="4"/>
      <c r="H91" s="4"/>
    </row>
    <row r="92" customFormat="false" ht="15.75" hidden="false" customHeight="false" outlineLevel="0" collapsed="false">
      <c r="B92" s="3" t="str">
        <f aca="false">IF(COUNTIF(Final_CB_O4_V5!$B$4:$B$523,A92)&gt;=1,"YES","NO")</f>
        <v>NO</v>
      </c>
      <c r="D92" s="3" t="str">
        <f aca="false">IF(COUNTIF(Final_CB_O4_V5!$C$4:$C$523,C92)&gt;=1,"YES","NO")</f>
        <v>NO</v>
      </c>
      <c r="G92" s="4"/>
      <c r="H92" s="4"/>
    </row>
    <row r="93" customFormat="false" ht="15.75" hidden="false" customHeight="false" outlineLevel="0" collapsed="false">
      <c r="B93" s="3" t="str">
        <f aca="false">IF(COUNTIF(Final_CB_O4_V5!$B$4:$B$523,A93)&gt;=1,"YES","NO")</f>
        <v>NO</v>
      </c>
      <c r="D93" s="3" t="str">
        <f aca="false">IF(COUNTIF(Final_CB_O4_V5!$C$4:$C$523,C93)&gt;=1,"YES","NO")</f>
        <v>NO</v>
      </c>
      <c r="G93" s="4"/>
      <c r="H93" s="4"/>
    </row>
    <row r="94" customFormat="false" ht="15.75" hidden="false" customHeight="false" outlineLevel="0" collapsed="false">
      <c r="B94" s="3" t="str">
        <f aca="false">IF(COUNTIF(Final_CB_O4_V5!$B$4:$B$523,A94)&gt;=1,"YES","NO")</f>
        <v>NO</v>
      </c>
      <c r="D94" s="3" t="str">
        <f aca="false">IF(COUNTIF(Final_CB_O4_V5!$C$4:$C$523,C94)&gt;=1,"YES","NO")</f>
        <v>NO</v>
      </c>
      <c r="G94" s="4"/>
      <c r="H94" s="4"/>
    </row>
    <row r="95" customFormat="false" ht="15.75" hidden="false" customHeight="false" outlineLevel="0" collapsed="false">
      <c r="B95" s="3" t="str">
        <f aca="false">IF(COUNTIF(Final_CB_O4_V5!$B$4:$B$523,A95)&gt;=1,"YES","NO")</f>
        <v>NO</v>
      </c>
      <c r="D95" s="3" t="str">
        <f aca="false">IF(COUNTIF(Final_CB_O4_V5!$C$4:$C$523,C95)&gt;=1,"YES","NO")</f>
        <v>NO</v>
      </c>
      <c r="G95" s="4"/>
      <c r="H95" s="4"/>
    </row>
    <row r="96" customFormat="false" ht="15.75" hidden="false" customHeight="false" outlineLevel="0" collapsed="false">
      <c r="B96" s="3" t="str">
        <f aca="false">IF(COUNTIF(Final_CB_O4_V5!$B$4:$B$523,A96)&gt;=1,"YES","NO")</f>
        <v>NO</v>
      </c>
      <c r="D96" s="3" t="str">
        <f aca="false">IF(COUNTIF(Final_CB_O4_V5!$C$4:$C$523,C96)&gt;=1,"YES","NO")</f>
        <v>NO</v>
      </c>
      <c r="G96" s="4"/>
      <c r="H96" s="4"/>
    </row>
    <row r="97" customFormat="false" ht="15.75" hidden="false" customHeight="false" outlineLevel="0" collapsed="false">
      <c r="B97" s="3" t="str">
        <f aca="false">IF(COUNTIF(Final_CB_O4_V5!$B$4:$B$523,A97)&gt;=1,"YES","NO")</f>
        <v>NO</v>
      </c>
      <c r="D97" s="3" t="str">
        <f aca="false">IF(COUNTIF(Final_CB_O4_V5!$C$4:$C$523,C97)&gt;=1,"YES","NO")</f>
        <v>NO</v>
      </c>
      <c r="G97" s="4"/>
      <c r="H97" s="4"/>
    </row>
    <row r="98" customFormat="false" ht="15.75" hidden="false" customHeight="false" outlineLevel="0" collapsed="false">
      <c r="B98" s="3" t="str">
        <f aca="false">IF(COUNTIF(Final_CB_O4_V5!$B$4:$B$523,A98)&gt;=1,"YES","NO")</f>
        <v>NO</v>
      </c>
      <c r="D98" s="3" t="str">
        <f aca="false">IF(COUNTIF(Final_CB_O4_V5!$C$4:$C$523,C98)&gt;=1,"YES","NO")</f>
        <v>NO</v>
      </c>
      <c r="G98" s="4"/>
      <c r="H98" s="4"/>
    </row>
    <row r="99" customFormat="false" ht="15.75" hidden="false" customHeight="false" outlineLevel="0" collapsed="false">
      <c r="B99" s="3" t="str">
        <f aca="false">IF(COUNTIF(Final_CB_O4_V5!$B$4:$B$523,A99)&gt;=1,"YES","NO")</f>
        <v>NO</v>
      </c>
      <c r="D99" s="3" t="str">
        <f aca="false">IF(COUNTIF(Final_CB_O4_V5!$C$4:$C$523,C99)&gt;=1,"YES","NO")</f>
        <v>NO</v>
      </c>
      <c r="G99" s="4"/>
      <c r="H99" s="4"/>
    </row>
    <row r="100" customFormat="false" ht="15.75" hidden="false" customHeight="false" outlineLevel="0" collapsed="false">
      <c r="B100" s="3" t="str">
        <f aca="false">IF(COUNTIF(Final_CB_O4_V5!$B$4:$B$523,A100)&gt;=1,"YES","NO")</f>
        <v>NO</v>
      </c>
      <c r="D100" s="3" t="str">
        <f aca="false">IF(COUNTIF(Final_CB_O4_V5!$C$4:$C$523,C100)&gt;=1,"YES","NO")</f>
        <v>NO</v>
      </c>
      <c r="G100" s="4"/>
      <c r="H100" s="4"/>
    </row>
    <row r="101" customFormat="false" ht="15.75" hidden="false" customHeight="false" outlineLevel="0" collapsed="false">
      <c r="B101" s="3" t="str">
        <f aca="false">IF(COUNTIF(Final_CB_O4_V5!$B$4:$B$523,A101)&gt;=1,"YES","NO")</f>
        <v>NO</v>
      </c>
      <c r="D101" s="3" t="str">
        <f aca="false">IF(COUNTIF(Final_CB_O4_V5!$C$4:$C$523,C101)&gt;=1,"YES","NO")</f>
        <v>NO</v>
      </c>
      <c r="G101" s="4"/>
      <c r="H101" s="4"/>
    </row>
    <row r="102" customFormat="false" ht="15.75" hidden="false" customHeight="false" outlineLevel="0" collapsed="false">
      <c r="B102" s="3" t="str">
        <f aca="false">IF(COUNTIF(Final_CB_O4_V5!$B$4:$B$523,A102)&gt;=1,"YES","NO")</f>
        <v>NO</v>
      </c>
      <c r="D102" s="3" t="str">
        <f aca="false">IF(COUNTIF(Final_CB_O4_V5!$C$4:$C$523,C102)&gt;=1,"YES","NO")</f>
        <v>NO</v>
      </c>
      <c r="G102" s="4"/>
      <c r="H102" s="4"/>
    </row>
    <row r="103" customFormat="false" ht="15.75" hidden="false" customHeight="false" outlineLevel="0" collapsed="false">
      <c r="B103" s="3" t="str">
        <f aca="false">IF(COUNTIF(Final_CB_O4_V5!$B$4:$B$523,A103)&gt;=1,"YES","NO")</f>
        <v>NO</v>
      </c>
      <c r="D103" s="3" t="str">
        <f aca="false">IF(COUNTIF(Final_CB_O4_V5!$C$4:$C$523,C103)&gt;=1,"YES","NO")</f>
        <v>NO</v>
      </c>
      <c r="G103" s="4"/>
      <c r="H103" s="4"/>
    </row>
    <row r="104" customFormat="false" ht="15.75" hidden="false" customHeight="false" outlineLevel="0" collapsed="false">
      <c r="B104" s="3" t="str">
        <f aca="false">IF(COUNTIF(Final_CB_O4_V5!$B$4:$B$523,A104)&gt;=1,"YES","NO")</f>
        <v>NO</v>
      </c>
      <c r="D104" s="3" t="str">
        <f aca="false">IF(COUNTIF(Final_CB_O4_V5!$C$4:$C$523,C104)&gt;=1,"YES","NO")</f>
        <v>NO</v>
      </c>
      <c r="G104" s="4"/>
      <c r="H104" s="4"/>
    </row>
    <row r="105" customFormat="false" ht="15.75" hidden="false" customHeight="false" outlineLevel="0" collapsed="false">
      <c r="B105" s="3" t="str">
        <f aca="false">IF(COUNTIF(Final_CB_O4_V5!$B$4:$B$523,A105)&gt;=1,"YES","NO")</f>
        <v>NO</v>
      </c>
      <c r="D105" s="3" t="str">
        <f aca="false">IF(COUNTIF(Final_CB_O4_V5!$C$4:$C$523,C105)&gt;=1,"YES","NO")</f>
        <v>NO</v>
      </c>
      <c r="G105" s="4"/>
      <c r="H105" s="4"/>
    </row>
    <row r="106" customFormat="false" ht="15.75" hidden="false" customHeight="false" outlineLevel="0" collapsed="false">
      <c r="B106" s="3" t="str">
        <f aca="false">IF(COUNTIF(Final_CB_O4_V5!$B$4:$B$523,A106)&gt;=1,"YES","NO")</f>
        <v>NO</v>
      </c>
      <c r="D106" s="3" t="str">
        <f aca="false">IF(COUNTIF(Final_CB_O4_V5!$C$4:$C$523,C106)&gt;=1,"YES","NO")</f>
        <v>NO</v>
      </c>
      <c r="G106" s="4"/>
      <c r="H106" s="4"/>
    </row>
    <row r="107" customFormat="false" ht="15.75" hidden="false" customHeight="false" outlineLevel="0" collapsed="false">
      <c r="B107" s="3" t="str">
        <f aca="false">IF(COUNTIF(Final_CB_O4_V5!$B$4:$B$523,A107)&gt;=1,"YES","NO")</f>
        <v>NO</v>
      </c>
      <c r="D107" s="3" t="str">
        <f aca="false">IF(COUNTIF(Final_CB_O4_V5!$C$4:$C$523,C107)&gt;=1,"YES","NO")</f>
        <v>NO</v>
      </c>
      <c r="G107" s="4"/>
      <c r="H107" s="4"/>
    </row>
    <row r="108" customFormat="false" ht="15.75" hidden="false" customHeight="false" outlineLevel="0" collapsed="false">
      <c r="B108" s="3" t="str">
        <f aca="false">IF(COUNTIF(Final_CB_O4_V5!$B$4:$B$523,A108)&gt;=1,"YES","NO")</f>
        <v>NO</v>
      </c>
      <c r="D108" s="3" t="str">
        <f aca="false">IF(COUNTIF(Final_CB_O4_V5!$C$4:$C$523,C108)&gt;=1,"YES","NO")</f>
        <v>NO</v>
      </c>
      <c r="G108" s="4"/>
      <c r="H108" s="4"/>
    </row>
    <row r="109" customFormat="false" ht="15.75" hidden="false" customHeight="false" outlineLevel="0" collapsed="false">
      <c r="B109" s="3" t="str">
        <f aca="false">IF(COUNTIF(Final_CB_O4_V5!$B$4:$B$523,A109)&gt;=1,"YES","NO")</f>
        <v>NO</v>
      </c>
      <c r="D109" s="3" t="str">
        <f aca="false">IF(COUNTIF(Final_CB_O4_V5!$C$4:$C$523,C109)&gt;=1,"YES","NO")</f>
        <v>NO</v>
      </c>
      <c r="G109" s="4"/>
      <c r="H109" s="4"/>
    </row>
    <row r="110" customFormat="false" ht="15.75" hidden="false" customHeight="false" outlineLevel="0" collapsed="false">
      <c r="B110" s="3" t="str">
        <f aca="false">IF(COUNTIF(Final_CB_O4_V5!$B$4:$B$523,A110)&gt;=1,"YES","NO")</f>
        <v>NO</v>
      </c>
      <c r="D110" s="3" t="str">
        <f aca="false">IF(COUNTIF(Final_CB_O4_V5!$C$4:$C$523,C110)&gt;=1,"YES","NO")</f>
        <v>NO</v>
      </c>
      <c r="G110" s="4"/>
      <c r="H110" s="4"/>
    </row>
    <row r="111" customFormat="false" ht="15.75" hidden="false" customHeight="false" outlineLevel="0" collapsed="false">
      <c r="B111" s="3" t="str">
        <f aca="false">IF(COUNTIF(Final_CB_O4_V5!$B$4:$B$523,A111)&gt;=1,"YES","NO")</f>
        <v>NO</v>
      </c>
      <c r="D111" s="3" t="str">
        <f aca="false">IF(COUNTIF(Final_CB_O4_V5!$C$4:$C$523,C111)&gt;=1,"YES","NO")</f>
        <v>NO</v>
      </c>
      <c r="G111" s="4"/>
      <c r="H111" s="4"/>
    </row>
    <row r="112" customFormat="false" ht="15.75" hidden="false" customHeight="false" outlineLevel="0" collapsed="false">
      <c r="B112" s="3" t="str">
        <f aca="false">IF(COUNTIF(Final_CB_O4_V5!$B$4:$B$523,A112)&gt;=1,"YES","NO")</f>
        <v>NO</v>
      </c>
      <c r="D112" s="3" t="str">
        <f aca="false">IF(COUNTIF(Final_CB_O4_V5!$C$4:$C$523,C112)&gt;=1,"YES","NO")</f>
        <v>NO</v>
      </c>
      <c r="G112" s="4"/>
      <c r="H112" s="4"/>
    </row>
    <row r="113" customFormat="false" ht="15.75" hidden="false" customHeight="false" outlineLevel="0" collapsed="false">
      <c r="B113" s="3" t="str">
        <f aca="false">IF(COUNTIF(Final_CB_O4_V5!$B$4:$B$523,A113)&gt;=1,"YES","NO")</f>
        <v>NO</v>
      </c>
      <c r="D113" s="3" t="str">
        <f aca="false">IF(COUNTIF(Final_CB_O4_V5!$C$4:$C$523,C113)&gt;=1,"YES","NO")</f>
        <v>NO</v>
      </c>
      <c r="G113" s="4"/>
      <c r="H113" s="4"/>
    </row>
    <row r="114" customFormat="false" ht="15.75" hidden="false" customHeight="false" outlineLevel="0" collapsed="false">
      <c r="B114" s="3" t="str">
        <f aca="false">IF(COUNTIF(Final_CB_O4_V5!$B$4:$B$523,A114)&gt;=1,"YES","NO")</f>
        <v>NO</v>
      </c>
      <c r="D114" s="3" t="str">
        <f aca="false">IF(COUNTIF(Final_CB_O4_V5!$C$4:$C$523,C114)&gt;=1,"YES","NO")</f>
        <v>NO</v>
      </c>
      <c r="G114" s="4"/>
      <c r="H114" s="4"/>
    </row>
    <row r="115" customFormat="false" ht="15.75" hidden="false" customHeight="false" outlineLevel="0" collapsed="false">
      <c r="B115" s="3" t="str">
        <f aca="false">IF(COUNTIF(Final_CB_O4_V5!$B$4:$B$523,A115)&gt;=1,"YES","NO")</f>
        <v>NO</v>
      </c>
      <c r="D115" s="3" t="str">
        <f aca="false">IF(COUNTIF(Final_CB_O4_V5!$C$4:$C$523,C115)&gt;=1,"YES","NO")</f>
        <v>NO</v>
      </c>
      <c r="G115" s="4"/>
      <c r="H115" s="4"/>
    </row>
    <row r="116" customFormat="false" ht="15.75" hidden="false" customHeight="false" outlineLevel="0" collapsed="false">
      <c r="B116" s="3" t="str">
        <f aca="false">IF(COUNTIF(Final_CB_O4_V5!$B$4:$B$523,A116)&gt;=1,"YES","NO")</f>
        <v>NO</v>
      </c>
      <c r="D116" s="3" t="str">
        <f aca="false">IF(COUNTIF(Final_CB_O4_V5!$C$4:$C$523,C116)&gt;=1,"YES","NO")</f>
        <v>NO</v>
      </c>
      <c r="G116" s="4"/>
      <c r="H116" s="4"/>
    </row>
    <row r="117" customFormat="false" ht="15.75" hidden="false" customHeight="false" outlineLevel="0" collapsed="false">
      <c r="B117" s="3" t="str">
        <f aca="false">IF(COUNTIF(Final_CB_O4_V5!$B$4:$B$523,A117)&gt;=1,"YES","NO")</f>
        <v>NO</v>
      </c>
      <c r="D117" s="3" t="str">
        <f aca="false">IF(COUNTIF(Final_CB_O4_V5!$C$4:$C$523,C117)&gt;=1,"YES","NO")</f>
        <v>NO</v>
      </c>
      <c r="G117" s="4"/>
      <c r="H117" s="4"/>
    </row>
    <row r="118" customFormat="false" ht="15.75" hidden="false" customHeight="false" outlineLevel="0" collapsed="false">
      <c r="B118" s="3" t="str">
        <f aca="false">IF(COUNTIF(Final_CB_O4_V5!$B$4:$B$523,A118)&gt;=1,"YES","NO")</f>
        <v>NO</v>
      </c>
      <c r="D118" s="3" t="str">
        <f aca="false">IF(COUNTIF(Final_CB_O4_V5!$C$4:$C$523,C118)&gt;=1,"YES","NO")</f>
        <v>NO</v>
      </c>
      <c r="G118" s="4"/>
      <c r="H118" s="4"/>
    </row>
    <row r="119" customFormat="false" ht="15.75" hidden="false" customHeight="false" outlineLevel="0" collapsed="false">
      <c r="B119" s="3" t="str">
        <f aca="false">IF(COUNTIF(Final_CB_O4_V5!$B$4:$B$523,A119)&gt;=1,"YES","NO")</f>
        <v>NO</v>
      </c>
      <c r="D119" s="3" t="str">
        <f aca="false">IF(COUNTIF(Final_CB_O4_V5!$C$4:$C$523,C119)&gt;=1,"YES","NO")</f>
        <v>NO</v>
      </c>
      <c r="G119" s="4"/>
      <c r="H119" s="4"/>
    </row>
    <row r="120" customFormat="false" ht="15.75" hidden="false" customHeight="false" outlineLevel="0" collapsed="false">
      <c r="B120" s="3" t="str">
        <f aca="false">IF(COUNTIF(Final_CB_O4_V5!$B$4:$B$523,A120)&gt;=1,"YES","NO")</f>
        <v>NO</v>
      </c>
      <c r="D120" s="3" t="str">
        <f aca="false">IF(COUNTIF(Final_CB_O4_V5!$C$4:$C$523,C120)&gt;=1,"YES","NO")</f>
        <v>NO</v>
      </c>
      <c r="G120" s="4"/>
      <c r="H120" s="4"/>
    </row>
    <row r="121" customFormat="false" ht="15.75" hidden="false" customHeight="false" outlineLevel="0" collapsed="false">
      <c r="B121" s="3" t="str">
        <f aca="false">IF(COUNTIF(Final_CB_O4_V5!$B$4:$B$523,A121)&gt;=1,"YES","NO")</f>
        <v>NO</v>
      </c>
      <c r="D121" s="3" t="str">
        <f aca="false">IF(COUNTIF(Final_CB_O4_V5!$C$4:$C$523,C121)&gt;=1,"YES","NO")</f>
        <v>NO</v>
      </c>
      <c r="G121" s="4"/>
      <c r="H121" s="4"/>
    </row>
    <row r="122" customFormat="false" ht="15.75" hidden="false" customHeight="false" outlineLevel="0" collapsed="false">
      <c r="B122" s="3" t="str">
        <f aca="false">IF(COUNTIF(Final_CB_O4_V5!$B$4:$B$523,A122)&gt;=1,"YES","NO")</f>
        <v>NO</v>
      </c>
      <c r="D122" s="3" t="str">
        <f aca="false">IF(COUNTIF(Final_CB_O4_V5!$C$4:$C$523,C122)&gt;=1,"YES","NO")</f>
        <v>NO</v>
      </c>
      <c r="G122" s="4"/>
      <c r="H122" s="4"/>
    </row>
    <row r="123" customFormat="false" ht="15.75" hidden="false" customHeight="false" outlineLevel="0" collapsed="false">
      <c r="B123" s="3" t="str">
        <f aca="false">IF(COUNTIF(Final_CB_O4_V5!$B$4:$B$523,A123)&gt;=1,"YES","NO")</f>
        <v>NO</v>
      </c>
      <c r="D123" s="3" t="str">
        <f aca="false">IF(COUNTIF(Final_CB_O4_V5!$C$4:$C$523,C123)&gt;=1,"YES","NO")</f>
        <v>NO</v>
      </c>
      <c r="G123" s="4"/>
      <c r="H123" s="4"/>
    </row>
    <row r="124" customFormat="false" ht="15.75" hidden="false" customHeight="false" outlineLevel="0" collapsed="false">
      <c r="B124" s="3" t="str">
        <f aca="false">IF(COUNTIF(Final_CB_O4_V5!$B$4:$B$523,A124)&gt;=1,"YES","NO")</f>
        <v>NO</v>
      </c>
      <c r="D124" s="3" t="str">
        <f aca="false">IF(COUNTIF(Final_CB_O4_V5!$C$4:$C$523,C124)&gt;=1,"YES","NO")</f>
        <v>NO</v>
      </c>
      <c r="G124" s="4"/>
      <c r="H124" s="4"/>
    </row>
    <row r="125" customFormat="false" ht="15.75" hidden="false" customHeight="false" outlineLevel="0" collapsed="false">
      <c r="B125" s="3" t="str">
        <f aca="false">IF(COUNTIF(Final_CB_O4_V5!$B$4:$B$523,A125)&gt;=1,"YES","NO")</f>
        <v>NO</v>
      </c>
      <c r="D125" s="3" t="str">
        <f aca="false">IF(COUNTIF(Final_CB_O4_V5!$C$4:$C$523,C125)&gt;=1,"YES","NO")</f>
        <v>NO</v>
      </c>
      <c r="G125" s="4"/>
      <c r="H125" s="4"/>
    </row>
    <row r="126" customFormat="false" ht="15.75" hidden="false" customHeight="false" outlineLevel="0" collapsed="false">
      <c r="B126" s="3" t="str">
        <f aca="false">IF(COUNTIF(Final_CB_O4_V5!$B$4:$B$523,A126)&gt;=1,"YES","NO")</f>
        <v>NO</v>
      </c>
      <c r="D126" s="3" t="str">
        <f aca="false">IF(COUNTIF(Final_CB_O4_V5!$C$4:$C$523,C126)&gt;=1,"YES","NO")</f>
        <v>NO</v>
      </c>
      <c r="G126" s="4"/>
      <c r="H126" s="4"/>
    </row>
    <row r="127" customFormat="false" ht="15.75" hidden="false" customHeight="false" outlineLevel="0" collapsed="false">
      <c r="B127" s="3" t="str">
        <f aca="false">IF(COUNTIF(Final_CB_O4_V5!$B$4:$B$523,A127)&gt;=1,"YES","NO")</f>
        <v>NO</v>
      </c>
      <c r="D127" s="3" t="str">
        <f aca="false">IF(COUNTIF(Final_CB_O4_V5!$C$4:$C$523,C127)&gt;=1,"YES","NO")</f>
        <v>NO</v>
      </c>
      <c r="G127" s="4"/>
      <c r="H127" s="4"/>
    </row>
    <row r="128" customFormat="false" ht="15.75" hidden="false" customHeight="false" outlineLevel="0" collapsed="false">
      <c r="B128" s="3" t="str">
        <f aca="false">IF(COUNTIF(Final_CB_O4_V5!$B$4:$B$523,A128)&gt;=1,"YES","NO")</f>
        <v>NO</v>
      </c>
      <c r="D128" s="3" t="str">
        <f aca="false">IF(COUNTIF(Final_CB_O4_V5!$C$4:$C$523,C128)&gt;=1,"YES","NO")</f>
        <v>NO</v>
      </c>
      <c r="G128" s="4"/>
      <c r="H128" s="4"/>
    </row>
    <row r="129" customFormat="false" ht="15.75" hidden="false" customHeight="false" outlineLevel="0" collapsed="false">
      <c r="B129" s="3" t="str">
        <f aca="false">IF(COUNTIF(Final_CB_O4_V5!$B$4:$B$523,A129)&gt;=1,"YES","NO")</f>
        <v>NO</v>
      </c>
      <c r="D129" s="3" t="str">
        <f aca="false">IF(COUNTIF(Final_CB_O4_V5!$C$4:$C$523,C129)&gt;=1,"YES","NO")</f>
        <v>NO</v>
      </c>
      <c r="G129" s="4"/>
      <c r="H129" s="4"/>
    </row>
    <row r="130" customFormat="false" ht="15.75" hidden="false" customHeight="false" outlineLevel="0" collapsed="false">
      <c r="B130" s="3" t="str">
        <f aca="false">IF(COUNTIF(Final_CB_O4_V5!$B$4:$B$523,A130)&gt;=1,"YES","NO")</f>
        <v>NO</v>
      </c>
      <c r="D130" s="3" t="str">
        <f aca="false">IF(COUNTIF(Final_CB_O4_V5!$C$4:$C$523,C130)&gt;=1,"YES","NO")</f>
        <v>NO</v>
      </c>
      <c r="G130" s="4"/>
      <c r="H130" s="4"/>
    </row>
    <row r="131" customFormat="false" ht="15.75" hidden="false" customHeight="false" outlineLevel="0" collapsed="false">
      <c r="B131" s="3" t="str">
        <f aca="false">IF(COUNTIF(Final_CB_O4_V5!$B$4:$B$523,A131)&gt;=1,"YES","NO")</f>
        <v>NO</v>
      </c>
      <c r="D131" s="3" t="str">
        <f aca="false">IF(COUNTIF(Final_CB_O4_V5!$C$4:$C$523,C131)&gt;=1,"YES","NO")</f>
        <v>NO</v>
      </c>
      <c r="G131" s="4"/>
      <c r="H131" s="4"/>
    </row>
    <row r="132" customFormat="false" ht="15.75" hidden="false" customHeight="false" outlineLevel="0" collapsed="false">
      <c r="B132" s="3" t="str">
        <f aca="false">IF(COUNTIF(Final_CB_O4_V5!$B$4:$B$523,A132)&gt;=1,"YES","NO")</f>
        <v>NO</v>
      </c>
      <c r="D132" s="3" t="str">
        <f aca="false">IF(COUNTIF(Final_CB_O4_V5!$C$4:$C$523,C132)&gt;=1,"YES","NO")</f>
        <v>NO</v>
      </c>
      <c r="G132" s="4"/>
      <c r="H132" s="4"/>
    </row>
    <row r="133" customFormat="false" ht="15.75" hidden="false" customHeight="false" outlineLevel="0" collapsed="false">
      <c r="B133" s="3" t="str">
        <f aca="false">IF(COUNTIF(Final_CB_O4_V5!$B$4:$B$523,A133)&gt;=1,"YES","NO")</f>
        <v>NO</v>
      </c>
      <c r="D133" s="3" t="str">
        <f aca="false">IF(COUNTIF(Final_CB_O4_V5!$C$4:$C$523,C133)&gt;=1,"YES","NO")</f>
        <v>NO</v>
      </c>
      <c r="G133" s="4"/>
      <c r="H133" s="4"/>
    </row>
    <row r="134" customFormat="false" ht="15.75" hidden="false" customHeight="false" outlineLevel="0" collapsed="false">
      <c r="B134" s="3" t="str">
        <f aca="false">IF(COUNTIF(Final_CB_O4_V5!$B$4:$B$523,A134)&gt;=1,"YES","NO")</f>
        <v>NO</v>
      </c>
      <c r="D134" s="3" t="str">
        <f aca="false">IF(COUNTIF(Final_CB_O4_V5!$C$4:$C$523,C134)&gt;=1,"YES","NO")</f>
        <v>NO</v>
      </c>
      <c r="G134" s="4"/>
      <c r="H134" s="4"/>
    </row>
    <row r="135" customFormat="false" ht="15.75" hidden="false" customHeight="false" outlineLevel="0" collapsed="false">
      <c r="B135" s="3" t="str">
        <f aca="false">IF(COUNTIF(Final_CB_O4_V5!$B$4:$B$523,A135)&gt;=1,"YES","NO")</f>
        <v>NO</v>
      </c>
      <c r="D135" s="3" t="str">
        <f aca="false">IF(COUNTIF(Final_CB_O4_V5!$C$4:$C$523,C135)&gt;=1,"YES","NO")</f>
        <v>NO</v>
      </c>
      <c r="G135" s="4"/>
      <c r="H135" s="4"/>
    </row>
    <row r="136" customFormat="false" ht="15.75" hidden="false" customHeight="false" outlineLevel="0" collapsed="false">
      <c r="B136" s="3" t="str">
        <f aca="false">IF(COUNTIF(Final_CB_O4_V5!$B$4:$B$523,A136)&gt;=1,"YES","NO")</f>
        <v>NO</v>
      </c>
      <c r="D136" s="3" t="str">
        <f aca="false">IF(COUNTIF(Final_CB_O4_V5!$C$4:$C$523,C136)&gt;=1,"YES","NO")</f>
        <v>NO</v>
      </c>
      <c r="G136" s="4"/>
      <c r="H136" s="4"/>
    </row>
    <row r="137" customFormat="false" ht="15.75" hidden="false" customHeight="false" outlineLevel="0" collapsed="false">
      <c r="B137" s="3" t="str">
        <f aca="false">IF(COUNTIF(Final_CB_O4_V5!$B$4:$B$523,A137)&gt;=1,"YES","NO")</f>
        <v>NO</v>
      </c>
      <c r="D137" s="3" t="str">
        <f aca="false">IF(COUNTIF(Final_CB_O4_V5!$C$4:$C$523,C137)&gt;=1,"YES","NO")</f>
        <v>NO</v>
      </c>
      <c r="G137" s="4"/>
      <c r="H137" s="4"/>
    </row>
    <row r="138" customFormat="false" ht="15.75" hidden="false" customHeight="false" outlineLevel="0" collapsed="false">
      <c r="B138" s="3" t="str">
        <f aca="false">IF(COUNTIF(Final_CB_O4_V5!$B$4:$B$523,A138)&gt;=1,"YES","NO")</f>
        <v>NO</v>
      </c>
      <c r="D138" s="3" t="str">
        <f aca="false">IF(COUNTIF(Final_CB_O4_V5!$C$4:$C$523,C138)&gt;=1,"YES","NO")</f>
        <v>NO</v>
      </c>
      <c r="G138" s="4"/>
      <c r="H138" s="4"/>
    </row>
    <row r="139" customFormat="false" ht="15.75" hidden="false" customHeight="false" outlineLevel="0" collapsed="false">
      <c r="B139" s="3" t="str">
        <f aca="false">IF(COUNTIF(Final_CB_O4_V5!$B$4:$B$523,A139)&gt;=1,"YES","NO")</f>
        <v>NO</v>
      </c>
      <c r="D139" s="3" t="str">
        <f aca="false">IF(COUNTIF(Final_CB_O4_V5!$C$4:$C$523,C139)&gt;=1,"YES","NO")</f>
        <v>NO</v>
      </c>
      <c r="G139" s="4"/>
      <c r="H139" s="4"/>
    </row>
    <row r="140" customFormat="false" ht="15.75" hidden="false" customHeight="false" outlineLevel="0" collapsed="false">
      <c r="B140" s="3" t="str">
        <f aca="false">IF(COUNTIF(Final_CB_O4_V5!$B$4:$B$523,A140)&gt;=1,"YES","NO")</f>
        <v>NO</v>
      </c>
      <c r="D140" s="3" t="str">
        <f aca="false">IF(COUNTIF(Final_CB_O4_V5!$C$4:$C$523,C140)&gt;=1,"YES","NO")</f>
        <v>NO</v>
      </c>
      <c r="G140" s="4"/>
      <c r="H140" s="4"/>
    </row>
    <row r="141" customFormat="false" ht="15.75" hidden="false" customHeight="false" outlineLevel="0" collapsed="false">
      <c r="B141" s="3" t="str">
        <f aca="false">IF(COUNTIF(Final_CB_O4_V5!$B$4:$B$523,A141)&gt;=1,"YES","NO")</f>
        <v>NO</v>
      </c>
      <c r="D141" s="3" t="str">
        <f aca="false">IF(COUNTIF(Final_CB_O4_V5!$C$4:$C$523,C141)&gt;=1,"YES","NO")</f>
        <v>NO</v>
      </c>
      <c r="G141" s="4"/>
      <c r="H141" s="4"/>
    </row>
    <row r="142" customFormat="false" ht="15.75" hidden="false" customHeight="false" outlineLevel="0" collapsed="false">
      <c r="B142" s="3" t="str">
        <f aca="false">IF(COUNTIF(Final_CB_O4_V5!$B$4:$B$523,A142)&gt;=1,"YES","NO")</f>
        <v>NO</v>
      </c>
      <c r="D142" s="3" t="str">
        <f aca="false">IF(COUNTIF(Final_CB_O4_V5!$C$4:$C$523,C142)&gt;=1,"YES","NO")</f>
        <v>NO</v>
      </c>
      <c r="G142" s="4"/>
      <c r="H142" s="4"/>
    </row>
    <row r="143" customFormat="false" ht="15.75" hidden="false" customHeight="false" outlineLevel="0" collapsed="false">
      <c r="B143" s="3" t="str">
        <f aca="false">IF(COUNTIF(Final_CB_O4_V5!$B$4:$B$523,A143)&gt;=1,"YES","NO")</f>
        <v>NO</v>
      </c>
      <c r="D143" s="3" t="str">
        <f aca="false">IF(COUNTIF(Final_CB_O4_V5!$C$4:$C$523,C143)&gt;=1,"YES","NO")</f>
        <v>NO</v>
      </c>
      <c r="G143" s="4"/>
      <c r="H143" s="4"/>
    </row>
    <row r="144" customFormat="false" ht="15.75" hidden="false" customHeight="false" outlineLevel="0" collapsed="false">
      <c r="B144" s="3" t="str">
        <f aca="false">IF(COUNTIF(Final_CB_O4_V5!$B$4:$B$523,A144)&gt;=1,"YES","NO")</f>
        <v>NO</v>
      </c>
      <c r="D144" s="3" t="str">
        <f aca="false">IF(COUNTIF(Final_CB_O4_V5!$C$4:$C$523,C144)&gt;=1,"YES","NO")</f>
        <v>NO</v>
      </c>
      <c r="G144" s="4"/>
      <c r="H144" s="4"/>
    </row>
    <row r="145" customFormat="false" ht="15.75" hidden="false" customHeight="false" outlineLevel="0" collapsed="false">
      <c r="B145" s="3" t="str">
        <f aca="false">IF(COUNTIF(Final_CB_O4_V5!$B$4:$B$523,A145)&gt;=1,"YES","NO")</f>
        <v>NO</v>
      </c>
      <c r="D145" s="3" t="str">
        <f aca="false">IF(COUNTIF(Final_CB_O4_V5!$C$4:$C$523,C145)&gt;=1,"YES","NO")</f>
        <v>NO</v>
      </c>
      <c r="G145" s="4"/>
      <c r="H145" s="4"/>
    </row>
    <row r="146" customFormat="false" ht="15.75" hidden="false" customHeight="false" outlineLevel="0" collapsed="false">
      <c r="B146" s="3" t="str">
        <f aca="false">IF(COUNTIF(Final_CB_O4_V5!$B$4:$B$523,A146)&gt;=1,"YES","NO")</f>
        <v>NO</v>
      </c>
      <c r="D146" s="3" t="str">
        <f aca="false">IF(COUNTIF(Final_CB_O4_V5!$C$4:$C$523,C146)&gt;=1,"YES","NO")</f>
        <v>NO</v>
      </c>
      <c r="G146" s="4"/>
      <c r="H146" s="4"/>
    </row>
    <row r="147" customFormat="false" ht="15.75" hidden="false" customHeight="false" outlineLevel="0" collapsed="false">
      <c r="B147" s="3" t="str">
        <f aca="false">IF(COUNTIF(Final_CB_O4_V5!$B$4:$B$523,A147)&gt;=1,"YES","NO")</f>
        <v>NO</v>
      </c>
      <c r="D147" s="3" t="str">
        <f aca="false">IF(COUNTIF(Final_CB_O4_V5!$C$4:$C$523,C147)&gt;=1,"YES","NO")</f>
        <v>NO</v>
      </c>
      <c r="G147" s="4"/>
      <c r="H147" s="4"/>
    </row>
    <row r="148" customFormat="false" ht="15.75" hidden="false" customHeight="false" outlineLevel="0" collapsed="false">
      <c r="B148" s="3" t="str">
        <f aca="false">IF(COUNTIF(Final_CB_O4_V5!$B$4:$B$523,A148)&gt;=1,"YES","NO")</f>
        <v>NO</v>
      </c>
      <c r="D148" s="3" t="str">
        <f aca="false">IF(COUNTIF(Final_CB_O4_V5!$C$4:$C$523,C148)&gt;=1,"YES","NO")</f>
        <v>NO</v>
      </c>
      <c r="G148" s="4"/>
      <c r="H148" s="4"/>
    </row>
    <row r="149" customFormat="false" ht="15.75" hidden="false" customHeight="false" outlineLevel="0" collapsed="false">
      <c r="B149" s="3" t="str">
        <f aca="false">IF(COUNTIF(Final_CB_O4_V5!$B$4:$B$523,A149)&gt;=1,"YES","NO")</f>
        <v>NO</v>
      </c>
      <c r="D149" s="3" t="str">
        <f aca="false">IF(COUNTIF(Final_CB_O4_V5!$C$4:$C$523,C149)&gt;=1,"YES","NO")</f>
        <v>NO</v>
      </c>
      <c r="G149" s="4"/>
      <c r="H149" s="4"/>
    </row>
    <row r="150" customFormat="false" ht="15.75" hidden="false" customHeight="false" outlineLevel="0" collapsed="false">
      <c r="B150" s="3" t="str">
        <f aca="false">IF(COUNTIF(Final_CB_O4_V5!$B$4:$B$523,A150)&gt;=1,"YES","NO")</f>
        <v>NO</v>
      </c>
      <c r="D150" s="3" t="str">
        <f aca="false">IF(COUNTIF(Final_CB_O4_V5!$C$4:$C$523,C150)&gt;=1,"YES","NO")</f>
        <v>NO</v>
      </c>
      <c r="G150" s="4"/>
      <c r="H150" s="4"/>
    </row>
    <row r="151" customFormat="false" ht="15.75" hidden="false" customHeight="false" outlineLevel="0" collapsed="false">
      <c r="B151" s="3" t="str">
        <f aca="false">IF(COUNTIF(Final_CB_O4_V5!$B$4:$B$523,A151)&gt;=1,"YES","NO")</f>
        <v>NO</v>
      </c>
      <c r="D151" s="3" t="str">
        <f aca="false">IF(COUNTIF(Final_CB_O4_V5!$C$4:$C$523,C151)&gt;=1,"YES","NO")</f>
        <v>NO</v>
      </c>
      <c r="G151" s="4"/>
      <c r="H151" s="4"/>
    </row>
    <row r="152" customFormat="false" ht="15.75" hidden="false" customHeight="false" outlineLevel="0" collapsed="false">
      <c r="B152" s="3" t="str">
        <f aca="false">IF(COUNTIF(Final_CB_O4_V5!$B$4:$B$523,A152)&gt;=1,"YES","NO")</f>
        <v>NO</v>
      </c>
      <c r="D152" s="3" t="str">
        <f aca="false">IF(COUNTIF(Final_CB_O4_V5!$C$4:$C$523,C152)&gt;=1,"YES","NO")</f>
        <v>NO</v>
      </c>
      <c r="G152" s="4"/>
      <c r="H152" s="4"/>
    </row>
    <row r="153" customFormat="false" ht="15.75" hidden="false" customHeight="false" outlineLevel="0" collapsed="false">
      <c r="B153" s="3" t="str">
        <f aca="false">IF(COUNTIF(Final_CB_O4_V5!$B$4:$B$523,A153)&gt;=1,"YES","NO")</f>
        <v>NO</v>
      </c>
      <c r="D153" s="3" t="str">
        <f aca="false">IF(COUNTIF(Final_CB_O4_V5!$C$4:$C$523,C153)&gt;=1,"YES","NO")</f>
        <v>NO</v>
      </c>
      <c r="G153" s="4"/>
      <c r="H153" s="4"/>
    </row>
    <row r="154" customFormat="false" ht="15.75" hidden="false" customHeight="false" outlineLevel="0" collapsed="false">
      <c r="B154" s="3" t="str">
        <f aca="false">IF(COUNTIF(Final_CB_O4_V5!$B$4:$B$523,A154)&gt;=1,"YES","NO")</f>
        <v>NO</v>
      </c>
      <c r="D154" s="3" t="str">
        <f aca="false">IF(COUNTIF(Final_CB_O4_V5!$C$4:$C$523,C154)&gt;=1,"YES","NO")</f>
        <v>NO</v>
      </c>
      <c r="G154" s="4"/>
      <c r="H154" s="4"/>
    </row>
    <row r="155" customFormat="false" ht="15.75" hidden="false" customHeight="false" outlineLevel="0" collapsed="false">
      <c r="B155" s="3" t="str">
        <f aca="false">IF(COUNTIF(Final_CB_O4_V5!$B$4:$B$523,A155)&gt;=1,"YES","NO")</f>
        <v>NO</v>
      </c>
      <c r="D155" s="3" t="str">
        <f aca="false">IF(COUNTIF(Final_CB_O4_V5!$C$4:$C$523,C155)&gt;=1,"YES","NO")</f>
        <v>NO</v>
      </c>
      <c r="G155" s="4"/>
      <c r="H155" s="4"/>
    </row>
    <row r="156" customFormat="false" ht="15.75" hidden="false" customHeight="false" outlineLevel="0" collapsed="false">
      <c r="B156" s="3" t="str">
        <f aca="false">IF(COUNTIF(Final_CB_O4_V5!$B$4:$B$523,A156)&gt;=1,"YES","NO")</f>
        <v>NO</v>
      </c>
      <c r="D156" s="3" t="str">
        <f aca="false">IF(COUNTIF(Final_CB_O4_V5!$C$4:$C$523,C156)&gt;=1,"YES","NO")</f>
        <v>NO</v>
      </c>
      <c r="G156" s="4"/>
      <c r="H156" s="4"/>
    </row>
    <row r="157" customFormat="false" ht="15.75" hidden="false" customHeight="false" outlineLevel="0" collapsed="false">
      <c r="B157" s="3" t="str">
        <f aca="false">IF(COUNTIF(Final_CB_O4_V5!$B$4:$B$523,A157)&gt;=1,"YES","NO")</f>
        <v>NO</v>
      </c>
      <c r="D157" s="3" t="str">
        <f aca="false">IF(COUNTIF(Final_CB_O4_V5!$C$4:$C$523,C157)&gt;=1,"YES","NO")</f>
        <v>NO</v>
      </c>
      <c r="G157" s="4"/>
      <c r="H157" s="4"/>
    </row>
    <row r="158" customFormat="false" ht="15.75" hidden="false" customHeight="false" outlineLevel="0" collapsed="false">
      <c r="B158" s="3" t="str">
        <f aca="false">IF(COUNTIF(Final_CB_O4_V5!$B$4:$B$523,A158)&gt;=1,"YES","NO")</f>
        <v>NO</v>
      </c>
      <c r="D158" s="3" t="str">
        <f aca="false">IF(COUNTIF(Final_CB_O4_V5!$C$4:$C$523,C158)&gt;=1,"YES","NO")</f>
        <v>NO</v>
      </c>
      <c r="G158" s="4"/>
      <c r="H158" s="4"/>
    </row>
    <row r="159" customFormat="false" ht="15.75" hidden="false" customHeight="false" outlineLevel="0" collapsed="false">
      <c r="B159" s="3" t="str">
        <f aca="false">IF(COUNTIF(Final_CB_O4_V5!$B$4:$B$523,A159)&gt;=1,"YES","NO")</f>
        <v>NO</v>
      </c>
      <c r="D159" s="3" t="str">
        <f aca="false">IF(COUNTIF(Final_CB_O4_V5!$C$4:$C$523,C159)&gt;=1,"YES","NO")</f>
        <v>NO</v>
      </c>
      <c r="G159" s="4"/>
      <c r="H159" s="4"/>
    </row>
    <row r="160" customFormat="false" ht="15.75" hidden="false" customHeight="false" outlineLevel="0" collapsed="false">
      <c r="B160" s="3" t="str">
        <f aca="false">IF(COUNTIF(Final_CB_O4_V5!$B$4:$B$523,A160)&gt;=1,"YES","NO")</f>
        <v>NO</v>
      </c>
      <c r="D160" s="3" t="str">
        <f aca="false">IF(COUNTIF(Final_CB_O4_V5!$C$4:$C$523,C160)&gt;=1,"YES","NO")</f>
        <v>NO</v>
      </c>
      <c r="G160" s="4"/>
      <c r="H160" s="4"/>
    </row>
    <row r="161" customFormat="false" ht="15.75" hidden="false" customHeight="false" outlineLevel="0" collapsed="false">
      <c r="B161" s="3" t="str">
        <f aca="false">IF(COUNTIF(Final_CB_O4_V5!$B$4:$B$523,A161)&gt;=1,"YES","NO")</f>
        <v>NO</v>
      </c>
      <c r="D161" s="3" t="str">
        <f aca="false">IF(COUNTIF(Final_CB_O4_V5!$C$4:$C$523,C161)&gt;=1,"YES","NO")</f>
        <v>NO</v>
      </c>
      <c r="G161" s="4"/>
      <c r="H161" s="4"/>
    </row>
    <row r="162" customFormat="false" ht="15.75" hidden="false" customHeight="false" outlineLevel="0" collapsed="false">
      <c r="B162" s="3" t="str">
        <f aca="false">IF(COUNTIF(Final_CB_O4_V5!$B$4:$B$523,A162)&gt;=1,"YES","NO")</f>
        <v>NO</v>
      </c>
      <c r="D162" s="3" t="str">
        <f aca="false">IF(COUNTIF(Final_CB_O4_V5!$C$4:$C$523,C162)&gt;=1,"YES","NO")</f>
        <v>NO</v>
      </c>
      <c r="G162" s="4"/>
      <c r="H162" s="4"/>
    </row>
    <row r="163" customFormat="false" ht="15.75" hidden="false" customHeight="false" outlineLevel="0" collapsed="false">
      <c r="B163" s="3" t="str">
        <f aca="false">IF(COUNTIF(Final_CB_O4_V5!$B$4:$B$523,A163)&gt;=1,"YES","NO")</f>
        <v>NO</v>
      </c>
      <c r="D163" s="3" t="str">
        <f aca="false">IF(COUNTIF(Final_CB_O4_V5!$C$4:$C$523,C163)&gt;=1,"YES","NO")</f>
        <v>NO</v>
      </c>
      <c r="G163" s="4"/>
      <c r="H163" s="4"/>
    </row>
    <row r="164" customFormat="false" ht="15.75" hidden="false" customHeight="false" outlineLevel="0" collapsed="false">
      <c r="B164" s="3" t="str">
        <f aca="false">IF(COUNTIF(Final_CB_O4_V5!$B$4:$B$523,A164)&gt;=1,"YES","NO")</f>
        <v>NO</v>
      </c>
      <c r="D164" s="3" t="str">
        <f aca="false">IF(COUNTIF(Final_CB_O4_V5!$C$4:$C$523,C164)&gt;=1,"YES","NO")</f>
        <v>NO</v>
      </c>
      <c r="G164" s="4"/>
      <c r="H164" s="4"/>
    </row>
    <row r="165" customFormat="false" ht="15.75" hidden="false" customHeight="false" outlineLevel="0" collapsed="false">
      <c r="B165" s="3" t="str">
        <f aca="false">IF(COUNTIF(Final_CB_O4_V5!$B$4:$B$523,A165)&gt;=1,"YES","NO")</f>
        <v>NO</v>
      </c>
      <c r="D165" s="3" t="str">
        <f aca="false">IF(COUNTIF(Final_CB_O4_V5!$C$4:$C$523,C165)&gt;=1,"YES","NO")</f>
        <v>NO</v>
      </c>
      <c r="G165" s="4"/>
      <c r="H165" s="4"/>
    </row>
    <row r="166" customFormat="false" ht="15.75" hidden="false" customHeight="false" outlineLevel="0" collapsed="false">
      <c r="B166" s="3" t="str">
        <f aca="false">IF(COUNTIF(Final_CB_O4_V5!$B$4:$B$523,A166)&gt;=1,"YES","NO")</f>
        <v>NO</v>
      </c>
      <c r="D166" s="3" t="str">
        <f aca="false">IF(COUNTIF(Final_CB_O4_V5!$C$4:$C$523,C166)&gt;=1,"YES","NO")</f>
        <v>NO</v>
      </c>
      <c r="G166" s="4"/>
      <c r="H166" s="4"/>
    </row>
    <row r="167" customFormat="false" ht="15.75" hidden="false" customHeight="false" outlineLevel="0" collapsed="false">
      <c r="B167" s="3" t="str">
        <f aca="false">IF(COUNTIF(Final_CB_O4_V5!$B$4:$B$523,A167)&gt;=1,"YES","NO")</f>
        <v>NO</v>
      </c>
      <c r="D167" s="3" t="str">
        <f aca="false">IF(COUNTIF(Final_CB_O4_V5!$C$4:$C$523,C167)&gt;=1,"YES","NO")</f>
        <v>NO</v>
      </c>
      <c r="G167" s="4"/>
      <c r="H167" s="4"/>
    </row>
    <row r="168" customFormat="false" ht="15.75" hidden="false" customHeight="false" outlineLevel="0" collapsed="false">
      <c r="B168" s="3" t="str">
        <f aca="false">IF(COUNTIF(Final_CB_O4_V5!$B$4:$B$523,A168)&gt;=1,"YES","NO")</f>
        <v>NO</v>
      </c>
      <c r="D168" s="3" t="str">
        <f aca="false">IF(COUNTIF(Final_CB_O4_V5!$C$4:$C$523,C168)&gt;=1,"YES","NO")</f>
        <v>NO</v>
      </c>
      <c r="G168" s="4"/>
      <c r="H168" s="4"/>
    </row>
    <row r="169" customFormat="false" ht="15.75" hidden="false" customHeight="false" outlineLevel="0" collapsed="false">
      <c r="B169" s="3" t="str">
        <f aca="false">IF(COUNTIF(Final_CB_O4_V5!$B$4:$B$523,A169)&gt;=1,"YES","NO")</f>
        <v>NO</v>
      </c>
      <c r="D169" s="3" t="str">
        <f aca="false">IF(COUNTIF(Final_CB_O4_V5!$C$4:$C$523,C169)&gt;=1,"YES","NO")</f>
        <v>NO</v>
      </c>
      <c r="G169" s="4"/>
      <c r="H169" s="4"/>
    </row>
    <row r="170" customFormat="false" ht="15.75" hidden="false" customHeight="false" outlineLevel="0" collapsed="false">
      <c r="B170" s="3" t="str">
        <f aca="false">IF(COUNTIF(Final_CB_O4_V5!$B$4:$B$523,A170)&gt;=1,"YES","NO")</f>
        <v>NO</v>
      </c>
      <c r="D170" s="3" t="str">
        <f aca="false">IF(COUNTIF(Final_CB_O4_V5!$C$4:$C$523,C170)&gt;=1,"YES","NO")</f>
        <v>NO</v>
      </c>
      <c r="G170" s="4"/>
      <c r="H170" s="4"/>
    </row>
    <row r="171" customFormat="false" ht="15.75" hidden="false" customHeight="false" outlineLevel="0" collapsed="false">
      <c r="B171" s="3" t="str">
        <f aca="false">IF(COUNTIF(Final_CB_O4_V5!$B$4:$B$523,A171)&gt;=1,"YES","NO")</f>
        <v>NO</v>
      </c>
      <c r="D171" s="3" t="str">
        <f aca="false">IF(COUNTIF(Final_CB_O4_V5!$C$4:$C$523,C171)&gt;=1,"YES","NO")</f>
        <v>NO</v>
      </c>
      <c r="G171" s="4"/>
      <c r="H171" s="4"/>
    </row>
    <row r="172" customFormat="false" ht="15.75" hidden="false" customHeight="false" outlineLevel="0" collapsed="false">
      <c r="B172" s="3" t="str">
        <f aca="false">IF(COUNTIF(Final_CB_O4_V5!$B$4:$B$523,A172)&gt;=1,"YES","NO")</f>
        <v>NO</v>
      </c>
      <c r="D172" s="3" t="str">
        <f aca="false">IF(COUNTIF(Final_CB_O4_V5!$C$4:$C$523,C172)&gt;=1,"YES","NO")</f>
        <v>NO</v>
      </c>
      <c r="E172" s="3" t="s">
        <v>1000</v>
      </c>
      <c r="G172" s="4"/>
      <c r="H172" s="4"/>
    </row>
    <row r="173" customFormat="false" ht="15.75" hidden="false" customHeight="false" outlineLevel="0" collapsed="false">
      <c r="B173" s="3" t="str">
        <f aca="false">IF(COUNTIF(Final_CB_O4_V5!$B$4:$B$523,A173)&gt;=1,"YES","NO")</f>
        <v>NO</v>
      </c>
      <c r="D173" s="3" t="str">
        <f aca="false">IF(COUNTIF(Final_CB_O4_V5!$C$4:$C$523,C173)&gt;=1,"YES","NO")</f>
        <v>NO</v>
      </c>
      <c r="G173" s="4"/>
      <c r="H173" s="4"/>
    </row>
    <row r="174" customFormat="false" ht="15.75" hidden="false" customHeight="false" outlineLevel="0" collapsed="false">
      <c r="B174" s="3" t="str">
        <f aca="false">IF(COUNTIF(Final_CB_O4_V5!$B$4:$B$523,A174)&gt;=1,"YES","NO")</f>
        <v>NO</v>
      </c>
      <c r="D174" s="3" t="str">
        <f aca="false">IF(COUNTIF(Final_CB_O4_V5!$C$4:$C$523,C174)&gt;=1,"YES","NO")</f>
        <v>NO</v>
      </c>
      <c r="G174" s="4"/>
      <c r="H174" s="4"/>
    </row>
    <row r="175" customFormat="false" ht="15.75" hidden="false" customHeight="false" outlineLevel="0" collapsed="false">
      <c r="B175" s="3" t="str">
        <f aca="false">IF(COUNTIF(Final_CB_O4_V5!$B$4:$B$523,A175)&gt;=1,"YES","NO")</f>
        <v>NO</v>
      </c>
      <c r="D175" s="3" t="str">
        <f aca="false">IF(COUNTIF(Final_CB_O4_V5!$C$4:$C$523,C175)&gt;=1,"YES","NO")</f>
        <v>NO</v>
      </c>
      <c r="G175" s="4"/>
      <c r="H175" s="4"/>
    </row>
    <row r="176" customFormat="false" ht="15.75" hidden="false" customHeight="false" outlineLevel="0" collapsed="false">
      <c r="B176" s="3" t="str">
        <f aca="false">IF(COUNTIF(Final_CB_O4_V5!$B$4:$B$523,A176)&gt;=1,"YES","NO")</f>
        <v>NO</v>
      </c>
      <c r="D176" s="3" t="str">
        <f aca="false">IF(COUNTIF(Final_CB_O4_V5!$C$4:$C$523,C176)&gt;=1,"YES","NO")</f>
        <v>NO</v>
      </c>
      <c r="G176" s="4"/>
      <c r="H176" s="4"/>
    </row>
    <row r="177" customFormat="false" ht="15.75" hidden="false" customHeight="false" outlineLevel="0" collapsed="false">
      <c r="B177" s="3" t="str">
        <f aca="false">IF(COUNTIF(Final_CB_O4_V5!$B$4:$B$523,A177)&gt;=1,"YES","NO")</f>
        <v>NO</v>
      </c>
      <c r="D177" s="3" t="str">
        <f aca="false">IF(COUNTIF(Final_CB_O4_V5!$C$4:$C$523,C177)&gt;=1,"YES","NO")</f>
        <v>NO</v>
      </c>
      <c r="G177" s="4"/>
      <c r="H177" s="4"/>
    </row>
    <row r="178" customFormat="false" ht="15.75" hidden="false" customHeight="false" outlineLevel="0" collapsed="false">
      <c r="B178" s="3" t="str">
        <f aca="false">IF(COUNTIF(Final_CB_O4_V5!$B$4:$B$523,A178)&gt;=1,"YES","NO")</f>
        <v>NO</v>
      </c>
      <c r="D178" s="3" t="str">
        <f aca="false">IF(COUNTIF(Final_CB_O4_V5!$C$4:$C$523,C178)&gt;=1,"YES","NO")</f>
        <v>NO</v>
      </c>
      <c r="G178" s="4"/>
      <c r="H178" s="4"/>
    </row>
    <row r="179" customFormat="false" ht="15.75" hidden="false" customHeight="false" outlineLevel="0" collapsed="false">
      <c r="B179" s="3" t="str">
        <f aca="false">IF(COUNTIF(Final_CB_O4_V5!$B$4:$B$523,A179)&gt;=1,"YES","NO")</f>
        <v>NO</v>
      </c>
      <c r="D179" s="3" t="str">
        <f aca="false">IF(COUNTIF(Final_CB_O4_V5!$C$4:$C$523,C179)&gt;=1,"YES","NO")</f>
        <v>NO</v>
      </c>
      <c r="G179" s="4"/>
      <c r="H179" s="4"/>
    </row>
    <row r="180" customFormat="false" ht="15.75" hidden="false" customHeight="false" outlineLevel="0" collapsed="false">
      <c r="B180" s="3" t="str">
        <f aca="false">IF(COUNTIF(Final_CB_O4_V5!$B$4:$B$523,A180)&gt;=1,"YES","NO")</f>
        <v>NO</v>
      </c>
      <c r="D180" s="3" t="str">
        <f aca="false">IF(COUNTIF(Final_CB_O4_V5!$C$4:$C$523,C180)&gt;=1,"YES","NO")</f>
        <v>NO</v>
      </c>
      <c r="G180" s="4"/>
      <c r="H180" s="4"/>
    </row>
    <row r="181" customFormat="false" ht="15.75" hidden="false" customHeight="false" outlineLevel="0" collapsed="false">
      <c r="B181" s="3" t="str">
        <f aca="false">IF(COUNTIF(Final_CB_O4_V5!$B$4:$B$523,A181)&gt;=1,"YES","NO")</f>
        <v>NO</v>
      </c>
      <c r="D181" s="3" t="str">
        <f aca="false">IF(COUNTIF(Final_CB_O4_V5!$C$4:$C$523,C181)&gt;=1,"YES","NO")</f>
        <v>NO</v>
      </c>
      <c r="G181" s="4"/>
      <c r="H181" s="4"/>
    </row>
    <row r="182" customFormat="false" ht="15.75" hidden="false" customHeight="false" outlineLevel="0" collapsed="false">
      <c r="B182" s="3" t="str">
        <f aca="false">IF(COUNTIF(Final_CB_O4_V5!$B$4:$B$523,A182)&gt;=1,"YES","NO")</f>
        <v>NO</v>
      </c>
      <c r="D182" s="3" t="str">
        <f aca="false">IF(COUNTIF(Final_CB_O4_V5!$C$4:$C$523,C182)&gt;=1,"YES","NO")</f>
        <v>NO</v>
      </c>
      <c r="G182" s="4"/>
      <c r="H182" s="4"/>
    </row>
    <row r="183" customFormat="false" ht="15.75" hidden="false" customHeight="false" outlineLevel="0" collapsed="false">
      <c r="B183" s="3" t="str">
        <f aca="false">IF(COUNTIF(Final_CB_O4_V5!$B$4:$B$523,A183)&gt;=1,"YES","NO")</f>
        <v>NO</v>
      </c>
      <c r="D183" s="3" t="str">
        <f aca="false">IF(COUNTIF(Final_CB_O4_V5!$C$4:$C$523,C183)&gt;=1,"YES","NO")</f>
        <v>NO</v>
      </c>
      <c r="G183" s="4"/>
      <c r="H183" s="4"/>
    </row>
    <row r="184" customFormat="false" ht="15.75" hidden="false" customHeight="false" outlineLevel="0" collapsed="false">
      <c r="B184" s="3" t="str">
        <f aca="false">IF(COUNTIF(Final_CB_O4_V5!$B$4:$B$523,A184)&gt;=1,"YES","NO")</f>
        <v>NO</v>
      </c>
      <c r="D184" s="3" t="str">
        <f aca="false">IF(COUNTIF(Final_CB_O4_V5!$C$4:$C$523,C184)&gt;=1,"YES","NO")</f>
        <v>NO</v>
      </c>
      <c r="G184" s="4"/>
      <c r="H184" s="4"/>
    </row>
    <row r="185" customFormat="false" ht="15.75" hidden="false" customHeight="false" outlineLevel="0" collapsed="false">
      <c r="B185" s="3" t="str">
        <f aca="false">IF(COUNTIF(Final_CB_O4_V5!$B$4:$B$523,A185)&gt;=1,"YES","NO")</f>
        <v>NO</v>
      </c>
      <c r="D185" s="3" t="str">
        <f aca="false">IF(COUNTIF(Final_CB_O4_V5!$C$4:$C$523,C185)&gt;=1,"YES","NO")</f>
        <v>NO</v>
      </c>
      <c r="G185" s="4"/>
      <c r="H185" s="4"/>
    </row>
    <row r="186" customFormat="false" ht="15.75" hidden="false" customHeight="false" outlineLevel="0" collapsed="false">
      <c r="B186" s="3" t="str">
        <f aca="false">IF(COUNTIF(Final_CB_O4_V5!$B$4:$B$523,A186)&gt;=1,"YES","NO")</f>
        <v>NO</v>
      </c>
      <c r="D186" s="3" t="str">
        <f aca="false">IF(COUNTIF(Final_CB_O4_V5!$C$4:$C$523,C186)&gt;=1,"YES","NO")</f>
        <v>NO</v>
      </c>
      <c r="G186" s="4"/>
      <c r="H186" s="4"/>
    </row>
    <row r="187" customFormat="false" ht="15.75" hidden="false" customHeight="false" outlineLevel="0" collapsed="false">
      <c r="B187" s="3" t="str">
        <f aca="false">IF(COUNTIF(Final_CB_O4_V5!$B$4:$B$523,A187)&gt;=1,"YES","NO")</f>
        <v>NO</v>
      </c>
      <c r="D187" s="3" t="str">
        <f aca="false">IF(COUNTIF(Final_CB_O4_V5!$C$4:$C$523,C187)&gt;=1,"YES","NO")</f>
        <v>NO</v>
      </c>
      <c r="G187" s="4"/>
      <c r="H187" s="4"/>
    </row>
    <row r="188" customFormat="false" ht="15.75" hidden="false" customHeight="false" outlineLevel="0" collapsed="false">
      <c r="B188" s="3" t="str">
        <f aca="false">IF(COUNTIF(Final_CB_O4_V5!$B$4:$B$523,A188)&gt;=1,"YES","NO")</f>
        <v>NO</v>
      </c>
      <c r="D188" s="3" t="str">
        <f aca="false">IF(COUNTIF(Final_CB_O4_V5!$C$4:$C$523,C188)&gt;=1,"YES","NO")</f>
        <v>NO</v>
      </c>
      <c r="G188" s="4"/>
      <c r="H188" s="4"/>
    </row>
    <row r="189" customFormat="false" ht="15.75" hidden="false" customHeight="false" outlineLevel="0" collapsed="false">
      <c r="B189" s="3" t="str">
        <f aca="false">IF(COUNTIF(Final_CB_O4_V5!$B$4:$B$523,A189)&gt;=1,"YES","NO")</f>
        <v>NO</v>
      </c>
      <c r="D189" s="3" t="str">
        <f aca="false">IF(COUNTIF(Final_CB_O4_V5!$C$4:$C$523,C189)&gt;=1,"YES","NO")</f>
        <v>NO</v>
      </c>
      <c r="G189" s="4"/>
      <c r="H189" s="4"/>
    </row>
    <row r="190" customFormat="false" ht="15.75" hidden="false" customHeight="false" outlineLevel="0" collapsed="false">
      <c r="B190" s="3" t="str">
        <f aca="false">IF(COUNTIF(Final_CB_O4_V5!$B$4:$B$523,A190)&gt;=1,"YES","NO")</f>
        <v>NO</v>
      </c>
      <c r="D190" s="3" t="str">
        <f aca="false">IF(COUNTIF(Final_CB_O4_V5!$C$4:$C$523,C190)&gt;=1,"YES","NO")</f>
        <v>NO</v>
      </c>
      <c r="G190" s="4"/>
      <c r="H190" s="4"/>
    </row>
    <row r="191" customFormat="false" ht="15.75" hidden="false" customHeight="false" outlineLevel="0" collapsed="false">
      <c r="B191" s="3" t="str">
        <f aca="false">IF(COUNTIF(Final_CB_O4_V5!$B$4:$B$523,A191)&gt;=1,"YES","NO")</f>
        <v>NO</v>
      </c>
      <c r="D191" s="3" t="str">
        <f aca="false">IF(COUNTIF(Final_CB_O4_V5!$C$4:$C$523,C191)&gt;=1,"YES","NO")</f>
        <v>NO</v>
      </c>
      <c r="G191" s="4"/>
      <c r="H191" s="4"/>
    </row>
    <row r="192" customFormat="false" ht="15.75" hidden="false" customHeight="false" outlineLevel="0" collapsed="false">
      <c r="B192" s="3" t="str">
        <f aca="false">IF(COUNTIF(Final_CB_O4_V5!$B$4:$B$523,A192)&gt;=1,"YES","NO")</f>
        <v>NO</v>
      </c>
      <c r="D192" s="3" t="str">
        <f aca="false">IF(COUNTIF(Final_CB_O4_V5!$C$4:$C$523,C192)&gt;=1,"YES","NO")</f>
        <v>NO</v>
      </c>
      <c r="G192" s="4"/>
      <c r="H192" s="4"/>
    </row>
    <row r="193" customFormat="false" ht="15.75" hidden="false" customHeight="false" outlineLevel="0" collapsed="false">
      <c r="B193" s="3" t="str">
        <f aca="false">IF(COUNTIF(Final_CB_O4_V5!$B$4:$B$523,A193)&gt;=1,"YES","NO")</f>
        <v>NO</v>
      </c>
      <c r="D193" s="3" t="str">
        <f aca="false">IF(COUNTIF(Final_CB_O4_V5!$C$4:$C$523,C193)&gt;=1,"YES","NO")</f>
        <v>NO</v>
      </c>
      <c r="G193" s="4"/>
      <c r="H193" s="4"/>
    </row>
    <row r="194" customFormat="false" ht="15.75" hidden="false" customHeight="false" outlineLevel="0" collapsed="false">
      <c r="B194" s="3" t="str">
        <f aca="false">IF(COUNTIF(Final_CB_O4_V5!$B$4:$B$523,A194)&gt;=1,"YES","NO")</f>
        <v>NO</v>
      </c>
      <c r="D194" s="3" t="str">
        <f aca="false">IF(COUNTIF(Final_CB_O4_V5!$C$4:$C$523,C194)&gt;=1,"YES","NO")</f>
        <v>NO</v>
      </c>
      <c r="G194" s="4"/>
      <c r="H194" s="4"/>
    </row>
    <row r="195" customFormat="false" ht="15.75" hidden="false" customHeight="false" outlineLevel="0" collapsed="false">
      <c r="B195" s="3" t="str">
        <f aca="false">IF(COUNTIF(Final_CB_O4_V5!$B$4:$B$523,A195)&gt;=1,"YES","NO")</f>
        <v>NO</v>
      </c>
      <c r="D195" s="3" t="str">
        <f aca="false">IF(COUNTIF(Final_CB_O4_V5!$C$4:$C$523,C195)&gt;=1,"YES","NO")</f>
        <v>NO</v>
      </c>
      <c r="G195" s="4"/>
      <c r="H195" s="4"/>
    </row>
    <row r="196" customFormat="false" ht="15.75" hidden="false" customHeight="false" outlineLevel="0" collapsed="false">
      <c r="B196" s="3" t="str">
        <f aca="false">IF(COUNTIF(Final_CB_O4_V5!$B$4:$B$523,A196)&gt;=1,"YES","NO")</f>
        <v>NO</v>
      </c>
      <c r="D196" s="3" t="str">
        <f aca="false">IF(COUNTIF(Final_CB_O4_V5!$C$4:$C$523,C196)&gt;=1,"YES","NO")</f>
        <v>NO</v>
      </c>
      <c r="G196" s="4"/>
      <c r="H196" s="4"/>
    </row>
    <row r="197" customFormat="false" ht="15.75" hidden="false" customHeight="false" outlineLevel="0" collapsed="false">
      <c r="B197" s="3" t="str">
        <f aca="false">IF(COUNTIF(Final_CB_O4_V5!$B$4:$B$523,A197)&gt;=1,"YES","NO")</f>
        <v>NO</v>
      </c>
      <c r="D197" s="3" t="str">
        <f aca="false">IF(COUNTIF(Final_CB_O4_V5!$C$4:$C$523,C197)&gt;=1,"YES","NO")</f>
        <v>NO</v>
      </c>
      <c r="G197" s="4"/>
      <c r="H197" s="4"/>
    </row>
    <row r="198" customFormat="false" ht="15.75" hidden="false" customHeight="false" outlineLevel="0" collapsed="false">
      <c r="B198" s="3" t="str">
        <f aca="false">IF(COUNTIF(Final_CB_O4_V5!$B$4:$B$523,A198)&gt;=1,"YES","NO")</f>
        <v>NO</v>
      </c>
      <c r="D198" s="3" t="str">
        <f aca="false">IF(COUNTIF(Final_CB_O4_V5!$C$4:$C$523,C198)&gt;=1,"YES","NO")</f>
        <v>NO</v>
      </c>
      <c r="G198" s="4"/>
      <c r="H198" s="4"/>
    </row>
    <row r="199" customFormat="false" ht="15.75" hidden="false" customHeight="false" outlineLevel="0" collapsed="false">
      <c r="B199" s="3" t="str">
        <f aca="false">IF(COUNTIF(Final_CB_O4_V5!$B$4:$B$523,A199)&gt;=1,"YES","NO")</f>
        <v>NO</v>
      </c>
      <c r="D199" s="3" t="str">
        <f aca="false">IF(COUNTIF(Final_CB_O4_V5!$C$4:$C$523,C199)&gt;=1,"YES","NO")</f>
        <v>NO</v>
      </c>
      <c r="G199" s="4"/>
      <c r="H199" s="4"/>
    </row>
    <row r="200" customFormat="false" ht="15.75" hidden="false" customHeight="false" outlineLevel="0" collapsed="false">
      <c r="B200" s="3" t="str">
        <f aca="false">IF(COUNTIF(Final_CB_O4_V5!$B$4:$B$523,A200)&gt;=1,"YES","NO")</f>
        <v>NO</v>
      </c>
      <c r="D200" s="3" t="str">
        <f aca="false">IF(COUNTIF(Final_CB_O4_V5!$C$4:$C$523,C200)&gt;=1,"YES","NO")</f>
        <v>NO</v>
      </c>
      <c r="G200" s="4"/>
      <c r="H200" s="4"/>
    </row>
    <row r="201" customFormat="false" ht="15.75" hidden="false" customHeight="false" outlineLevel="0" collapsed="false">
      <c r="B201" s="3" t="str">
        <f aca="false">IF(COUNTIF(Final_CB_O4_V5!$B$4:$B$523,A201)&gt;=1,"YES","NO")</f>
        <v>NO</v>
      </c>
      <c r="D201" s="3" t="str">
        <f aca="false">IF(COUNTIF(Final_CB_O4_V5!$C$4:$C$523,C201)&gt;=1,"YES","NO")</f>
        <v>NO</v>
      </c>
      <c r="G201" s="4"/>
      <c r="H201" s="4"/>
    </row>
    <row r="202" customFormat="false" ht="15.75" hidden="false" customHeight="false" outlineLevel="0" collapsed="false">
      <c r="B202" s="3" t="str">
        <f aca="false">IF(COUNTIF(Final_CB_O4_V5!$B$4:$B$523,A202)&gt;=1,"YES","NO")</f>
        <v>NO</v>
      </c>
      <c r="D202" s="3" t="str">
        <f aca="false">IF(COUNTIF(Final_CB_O4_V5!$C$4:$C$523,C202)&gt;=1,"YES","NO")</f>
        <v>NO</v>
      </c>
      <c r="G202" s="4"/>
      <c r="H202" s="4"/>
    </row>
    <row r="203" customFormat="false" ht="15.75" hidden="false" customHeight="false" outlineLevel="0" collapsed="false">
      <c r="B203" s="3" t="str">
        <f aca="false">IF(COUNTIF(Final_CB_O4_V5!$B$4:$B$523,A203)&gt;=1,"YES","NO")</f>
        <v>NO</v>
      </c>
      <c r="D203" s="3" t="str">
        <f aca="false">IF(COUNTIF(Final_CB_O4_V5!$C$4:$C$523,C203)&gt;=1,"YES","NO")</f>
        <v>NO</v>
      </c>
      <c r="G203" s="4"/>
      <c r="H203" s="4"/>
    </row>
    <row r="204" customFormat="false" ht="15.75" hidden="false" customHeight="false" outlineLevel="0" collapsed="false">
      <c r="B204" s="3" t="str">
        <f aca="false">IF(COUNTIF(Final_CB_O4_V5!$B$4:$B$523,A204)&gt;=1,"YES","NO")</f>
        <v>NO</v>
      </c>
      <c r="D204" s="3" t="str">
        <f aca="false">IF(COUNTIF(Final_CB_O4_V5!$C$4:$C$523,C204)&gt;=1,"YES","NO")</f>
        <v>NO</v>
      </c>
      <c r="G204" s="4"/>
      <c r="H204" s="4"/>
    </row>
    <row r="205" customFormat="false" ht="15.75" hidden="false" customHeight="false" outlineLevel="0" collapsed="false">
      <c r="B205" s="3" t="str">
        <f aca="false">IF(COUNTIF(Final_CB_O4_V5!$B$4:$B$523,A205)&gt;=1,"YES","NO")</f>
        <v>NO</v>
      </c>
      <c r="D205" s="3" t="str">
        <f aca="false">IF(COUNTIF(Final_CB_O4_V5!$C$4:$C$523,C205)&gt;=1,"YES","NO")</f>
        <v>NO</v>
      </c>
      <c r="G205" s="4"/>
      <c r="H205" s="4"/>
    </row>
    <row r="206" customFormat="false" ht="15.75" hidden="false" customHeight="false" outlineLevel="0" collapsed="false">
      <c r="B206" s="3" t="str">
        <f aca="false">IF(COUNTIF(Final_CB_O4_V5!$B$4:$B$523,A206)&gt;=1,"YES","NO")</f>
        <v>NO</v>
      </c>
      <c r="D206" s="3" t="str">
        <f aca="false">IF(COUNTIF(Final_CB_O4_V5!$C$4:$C$523,C206)&gt;=1,"YES","NO")</f>
        <v>NO</v>
      </c>
      <c r="G206" s="4"/>
      <c r="H206" s="4"/>
    </row>
    <row r="207" customFormat="false" ht="15.75" hidden="false" customHeight="false" outlineLevel="0" collapsed="false">
      <c r="B207" s="3" t="str">
        <f aca="false">IF(COUNTIF(Final_CB_O4_V5!$B$4:$B$523,A207)&gt;=1,"YES","NO")</f>
        <v>NO</v>
      </c>
      <c r="D207" s="3" t="str">
        <f aca="false">IF(COUNTIF(Final_CB_O4_V5!$C$4:$C$523,C207)&gt;=1,"YES","NO")</f>
        <v>NO</v>
      </c>
      <c r="G207" s="4"/>
      <c r="H207" s="4"/>
    </row>
    <row r="208" customFormat="false" ht="15.75" hidden="false" customHeight="false" outlineLevel="0" collapsed="false">
      <c r="B208" s="3" t="str">
        <f aca="false">IF(COUNTIF(Final_CB_O4_V5!$B$4:$B$523,A208)&gt;=1,"YES","NO")</f>
        <v>NO</v>
      </c>
      <c r="D208" s="3" t="str">
        <f aca="false">IF(COUNTIF(Final_CB_O4_V5!$C$4:$C$523,C208)&gt;=1,"YES","NO")</f>
        <v>NO</v>
      </c>
      <c r="G208" s="4"/>
      <c r="H208" s="4"/>
    </row>
    <row r="209" customFormat="false" ht="15.75" hidden="false" customHeight="false" outlineLevel="0" collapsed="false">
      <c r="B209" s="3" t="str">
        <f aca="false">IF(COUNTIF(Final_CB_O4_V5!$B$4:$B$523,A209)&gt;=1,"YES","NO")</f>
        <v>NO</v>
      </c>
      <c r="D209" s="3" t="str">
        <f aca="false">IF(COUNTIF(Final_CB_O4_V5!$C$4:$C$523,C209)&gt;=1,"YES","NO")</f>
        <v>NO</v>
      </c>
      <c r="G209" s="4"/>
      <c r="H209" s="4"/>
    </row>
    <row r="210" customFormat="false" ht="15.75" hidden="false" customHeight="false" outlineLevel="0" collapsed="false">
      <c r="B210" s="3" t="str">
        <f aca="false">IF(COUNTIF(Final_CB_O4_V5!$B$4:$B$523,A210)&gt;=1,"YES","NO")</f>
        <v>NO</v>
      </c>
      <c r="D210" s="3" t="str">
        <f aca="false">IF(COUNTIF(Final_CB_O4_V5!$C$4:$C$523,C210)&gt;=1,"YES","NO")</f>
        <v>NO</v>
      </c>
      <c r="G210" s="4"/>
      <c r="H210" s="4"/>
    </row>
    <row r="211" customFormat="false" ht="15.75" hidden="false" customHeight="false" outlineLevel="0" collapsed="false">
      <c r="B211" s="3" t="str">
        <f aca="false">IF(COUNTIF(Final_CB_O4_V5!$B$4:$B$523,A211)&gt;=1,"YES","NO")</f>
        <v>NO</v>
      </c>
      <c r="D211" s="3" t="str">
        <f aca="false">IF(COUNTIF(Final_CB_O4_V5!$C$4:$C$523,C211)&gt;=1,"YES","NO")</f>
        <v>NO</v>
      </c>
      <c r="G211" s="4"/>
      <c r="H211" s="4"/>
    </row>
    <row r="212" customFormat="false" ht="15.75" hidden="false" customHeight="false" outlineLevel="0" collapsed="false">
      <c r="B212" s="3" t="str">
        <f aca="false">IF(COUNTIF(Final_CB_O4_V5!$B$4:$B$523,A212)&gt;=1,"YES","NO")</f>
        <v>NO</v>
      </c>
      <c r="D212" s="3" t="str">
        <f aca="false">IF(COUNTIF(Final_CB_O4_V5!$C$4:$C$523,C212)&gt;=1,"YES","NO")</f>
        <v>NO</v>
      </c>
      <c r="G212" s="4"/>
      <c r="H212" s="4"/>
    </row>
    <row r="213" customFormat="false" ht="15.75" hidden="false" customHeight="false" outlineLevel="0" collapsed="false">
      <c r="B213" s="3" t="str">
        <f aca="false">IF(COUNTIF(Final_CB_O4_V5!$B$4:$B$523,A213)&gt;=1,"YES","NO")</f>
        <v>NO</v>
      </c>
      <c r="D213" s="3" t="str">
        <f aca="false">IF(COUNTIF(Final_CB_O4_V5!$C$4:$C$523,C213)&gt;=1,"YES","NO")</f>
        <v>NO</v>
      </c>
      <c r="G213" s="4"/>
      <c r="H213" s="4"/>
    </row>
    <row r="214" customFormat="false" ht="15.75" hidden="false" customHeight="false" outlineLevel="0" collapsed="false">
      <c r="B214" s="3" t="str">
        <f aca="false">IF(COUNTIF(Final_CB_O4_V5!$B$4:$B$523,A214)&gt;=1,"YES","NO")</f>
        <v>NO</v>
      </c>
      <c r="D214" s="3" t="str">
        <f aca="false">IF(COUNTIF(Final_CB_O4_V5!$C$4:$C$523,C214)&gt;=1,"YES","NO")</f>
        <v>NO</v>
      </c>
      <c r="G214" s="4"/>
      <c r="H214" s="4"/>
    </row>
    <row r="215" customFormat="false" ht="15.75" hidden="false" customHeight="false" outlineLevel="0" collapsed="false">
      <c r="B215" s="3" t="str">
        <f aca="false">IF(COUNTIF(Final_CB_O4_V5!$B$4:$B$523,A215)&gt;=1,"YES","NO")</f>
        <v>NO</v>
      </c>
      <c r="D215" s="3" t="str">
        <f aca="false">IF(COUNTIF(Final_CB_O4_V5!$C$4:$C$523,C215)&gt;=1,"YES","NO")</f>
        <v>NO</v>
      </c>
      <c r="G215" s="4"/>
      <c r="H215" s="4"/>
    </row>
    <row r="216" customFormat="false" ht="15.75" hidden="false" customHeight="false" outlineLevel="0" collapsed="false">
      <c r="B216" s="3" t="str">
        <f aca="false">IF(COUNTIF(Final_CB_O4_V5!$B$4:$B$523,A216)&gt;=1,"YES","NO")</f>
        <v>NO</v>
      </c>
      <c r="D216" s="3" t="str">
        <f aca="false">IF(COUNTIF(Final_CB_O4_V5!$C$4:$C$523,C216)&gt;=1,"YES","NO")</f>
        <v>NO</v>
      </c>
      <c r="G216" s="4"/>
      <c r="H216" s="4"/>
    </row>
    <row r="217" customFormat="false" ht="15.75" hidden="false" customHeight="false" outlineLevel="0" collapsed="false">
      <c r="B217" s="3" t="str">
        <f aca="false">IF(COUNTIF(Final_CB_O4_V5!$B$4:$B$523,A217)&gt;=1,"YES","NO")</f>
        <v>NO</v>
      </c>
      <c r="D217" s="3" t="str">
        <f aca="false">IF(COUNTIF(Final_CB_O4_V5!$C$4:$C$523,C217)&gt;=1,"YES","NO")</f>
        <v>NO</v>
      </c>
      <c r="G217" s="4"/>
      <c r="H217" s="4"/>
    </row>
    <row r="218" customFormat="false" ht="15.75" hidden="false" customHeight="false" outlineLevel="0" collapsed="false">
      <c r="B218" s="3" t="str">
        <f aca="false">IF(COUNTIF(Final_CB_O4_V5!$B$4:$B$523,A218)&gt;=1,"YES","NO")</f>
        <v>NO</v>
      </c>
      <c r="D218" s="3" t="str">
        <f aca="false">IF(COUNTIF(Final_CB_O4_V5!$C$4:$C$523,C218)&gt;=1,"YES","NO")</f>
        <v>NO</v>
      </c>
      <c r="G218" s="4"/>
      <c r="H218" s="4"/>
    </row>
    <row r="219" customFormat="false" ht="15.75" hidden="false" customHeight="false" outlineLevel="0" collapsed="false">
      <c r="B219" s="3" t="str">
        <f aca="false">IF(COUNTIF(Final_CB_O4_V5!$B$4:$B$523,A219)&gt;=1,"YES","NO")</f>
        <v>NO</v>
      </c>
      <c r="D219" s="3" t="str">
        <f aca="false">IF(COUNTIF(Final_CB_O4_V5!$C$4:$C$523,C219)&gt;=1,"YES","NO")</f>
        <v>NO</v>
      </c>
      <c r="G219" s="4"/>
      <c r="H219" s="4"/>
    </row>
    <row r="220" customFormat="false" ht="15.75" hidden="false" customHeight="false" outlineLevel="0" collapsed="false">
      <c r="B220" s="3" t="str">
        <f aca="false">IF(COUNTIF(Final_CB_O4_V5!$B$4:$B$523,A220)&gt;=1,"YES","NO")</f>
        <v>NO</v>
      </c>
      <c r="D220" s="3" t="str">
        <f aca="false">IF(COUNTIF(Final_CB_O4_V5!$C$4:$C$523,C220)&gt;=1,"YES","NO")</f>
        <v>NO</v>
      </c>
      <c r="G220" s="4"/>
      <c r="H220" s="4"/>
    </row>
    <row r="221" customFormat="false" ht="15.75" hidden="false" customHeight="false" outlineLevel="0" collapsed="false">
      <c r="B221" s="3" t="str">
        <f aca="false">IF(COUNTIF(Final_CB_O4_V5!$B$4:$B$523,A221)&gt;=1,"YES","NO")</f>
        <v>NO</v>
      </c>
      <c r="D221" s="3" t="str">
        <f aca="false">IF(COUNTIF(Final_CB_O4_V5!$C$4:$C$523,C221)&gt;=1,"YES","NO")</f>
        <v>NO</v>
      </c>
      <c r="G221" s="4"/>
      <c r="H221" s="4"/>
    </row>
    <row r="222" customFormat="false" ht="15.75" hidden="false" customHeight="false" outlineLevel="0" collapsed="false">
      <c r="B222" s="3" t="str">
        <f aca="false">IF(COUNTIF(Final_CB_O4_V5!$B$4:$B$523,A222)&gt;=1,"YES","NO")</f>
        <v>NO</v>
      </c>
      <c r="D222" s="3" t="str">
        <f aca="false">IF(COUNTIF(Final_CB_O4_V5!$C$4:$C$523,C222)&gt;=1,"YES","NO")</f>
        <v>NO</v>
      </c>
      <c r="G222" s="4"/>
      <c r="H222" s="4"/>
    </row>
    <row r="223" customFormat="false" ht="15.75" hidden="false" customHeight="false" outlineLevel="0" collapsed="false">
      <c r="B223" s="3" t="str">
        <f aca="false">IF(COUNTIF(Final_CB_O4_V5!$B$4:$B$523,A223)&gt;=1,"YES","NO")</f>
        <v>NO</v>
      </c>
      <c r="D223" s="3" t="str">
        <f aca="false">IF(COUNTIF(Final_CB_O4_V5!$C$4:$C$523,C223)&gt;=1,"YES","NO")</f>
        <v>NO</v>
      </c>
      <c r="G223" s="4"/>
      <c r="H223" s="4"/>
    </row>
    <row r="224" customFormat="false" ht="15.75" hidden="false" customHeight="false" outlineLevel="0" collapsed="false">
      <c r="B224" s="3" t="str">
        <f aca="false">IF(COUNTIF(Final_CB_O4_V5!$B$4:$B$523,A224)&gt;=1,"YES","NO")</f>
        <v>NO</v>
      </c>
      <c r="D224" s="3" t="str">
        <f aca="false">IF(COUNTIF(Final_CB_O4_V5!$C$4:$C$523,C224)&gt;=1,"YES","NO")</f>
        <v>NO</v>
      </c>
      <c r="G224" s="4"/>
      <c r="H224" s="4"/>
    </row>
    <row r="225" customFormat="false" ht="15.75" hidden="false" customHeight="false" outlineLevel="0" collapsed="false">
      <c r="B225" s="3" t="str">
        <f aca="false">IF(COUNTIF(Final_CB_O4_V5!$B$4:$B$523,A225)&gt;=1,"YES","NO")</f>
        <v>NO</v>
      </c>
      <c r="D225" s="3" t="str">
        <f aca="false">IF(COUNTIF(Final_CB_O4_V5!$C$4:$C$523,C225)&gt;=1,"YES","NO")</f>
        <v>NO</v>
      </c>
      <c r="G225" s="4"/>
      <c r="H225" s="4"/>
    </row>
    <row r="226" customFormat="false" ht="15.75" hidden="false" customHeight="false" outlineLevel="0" collapsed="false">
      <c r="B226" s="3" t="str">
        <f aca="false">IF(COUNTIF(Final_CB_O4_V5!$B$4:$B$523,A226)&gt;=1,"YES","NO")</f>
        <v>NO</v>
      </c>
      <c r="D226" s="3" t="str">
        <f aca="false">IF(COUNTIF(Final_CB_O4_V5!$C$4:$C$523,C226)&gt;=1,"YES","NO")</f>
        <v>NO</v>
      </c>
      <c r="G226" s="4"/>
      <c r="H226" s="4"/>
    </row>
    <row r="227" customFormat="false" ht="15.75" hidden="false" customHeight="false" outlineLevel="0" collapsed="false">
      <c r="B227" s="3" t="str">
        <f aca="false">IF(COUNTIF(Final_CB_O4_V5!$B$4:$B$523,A227)&gt;=1,"YES","NO")</f>
        <v>NO</v>
      </c>
      <c r="D227" s="3" t="str">
        <f aca="false">IF(COUNTIF(Final_CB_O4_V5!$C$4:$C$523,C227)&gt;=1,"YES","NO")</f>
        <v>NO</v>
      </c>
      <c r="G227" s="4"/>
      <c r="H227" s="4"/>
    </row>
    <row r="228" customFormat="false" ht="15.75" hidden="false" customHeight="false" outlineLevel="0" collapsed="false">
      <c r="B228" s="3" t="str">
        <f aca="false">IF(COUNTIF(Final_CB_O4_V5!$B$4:$B$523,A228)&gt;=1,"YES","NO")</f>
        <v>NO</v>
      </c>
      <c r="D228" s="3" t="str">
        <f aca="false">IF(COUNTIF(Final_CB_O4_V5!$C$4:$C$523,C228)&gt;=1,"YES","NO")</f>
        <v>NO</v>
      </c>
      <c r="G228" s="4"/>
      <c r="H228" s="4"/>
    </row>
    <row r="229" customFormat="false" ht="15.75" hidden="false" customHeight="false" outlineLevel="0" collapsed="false">
      <c r="B229" s="3" t="str">
        <f aca="false">IF(COUNTIF(Final_CB_O4_V5!$B$4:$B$523,A229)&gt;=1,"YES","NO")</f>
        <v>NO</v>
      </c>
      <c r="D229" s="3" t="str">
        <f aca="false">IF(COUNTIF(Final_CB_O4_V5!$C$4:$C$523,C229)&gt;=1,"YES","NO")</f>
        <v>NO</v>
      </c>
      <c r="G229" s="4"/>
      <c r="H229" s="4"/>
    </row>
    <row r="230" customFormat="false" ht="15.75" hidden="false" customHeight="false" outlineLevel="0" collapsed="false">
      <c r="B230" s="3" t="str">
        <f aca="false">IF(COUNTIF(Final_CB_O4_V5!$B$4:$B$523,A230)&gt;=1,"YES","NO")</f>
        <v>NO</v>
      </c>
      <c r="D230" s="3" t="str">
        <f aca="false">IF(COUNTIF(Final_CB_O4_V5!$C$4:$C$523,C230)&gt;=1,"YES","NO")</f>
        <v>NO</v>
      </c>
      <c r="G230" s="4"/>
      <c r="H230" s="4"/>
    </row>
    <row r="231" customFormat="false" ht="15.75" hidden="false" customHeight="false" outlineLevel="0" collapsed="false">
      <c r="B231" s="3" t="str">
        <f aca="false">IF(COUNTIF(Final_CB_O4_V5!$B$4:$B$523,A231)&gt;=1,"YES","NO")</f>
        <v>NO</v>
      </c>
      <c r="D231" s="3" t="str">
        <f aca="false">IF(COUNTIF(Final_CB_O4_V5!$C$4:$C$523,C231)&gt;=1,"YES","NO")</f>
        <v>NO</v>
      </c>
      <c r="G231" s="4"/>
      <c r="H231" s="4"/>
    </row>
    <row r="232" customFormat="false" ht="15.75" hidden="false" customHeight="false" outlineLevel="0" collapsed="false">
      <c r="B232" s="3" t="str">
        <f aca="false">IF(COUNTIF(Final_CB_O4_V5!$B$4:$B$523,A232)&gt;=1,"YES","NO")</f>
        <v>NO</v>
      </c>
      <c r="D232" s="3" t="str">
        <f aca="false">IF(COUNTIF(Final_CB_O4_V5!$C$4:$C$523,C232)&gt;=1,"YES","NO")</f>
        <v>NO</v>
      </c>
      <c r="G232" s="4"/>
      <c r="H232" s="4"/>
    </row>
    <row r="233" customFormat="false" ht="15.75" hidden="false" customHeight="false" outlineLevel="0" collapsed="false">
      <c r="B233" s="3" t="str">
        <f aca="false">IF(COUNTIF(Final_CB_O4_V5!$B$4:$B$523,A233)&gt;=1,"YES","NO")</f>
        <v>NO</v>
      </c>
      <c r="D233" s="3" t="str">
        <f aca="false">IF(COUNTIF(Final_CB_O4_V5!$C$4:$C$523,C233)&gt;=1,"YES","NO")</f>
        <v>NO</v>
      </c>
      <c r="G233" s="4"/>
      <c r="H233" s="4"/>
    </row>
    <row r="234" customFormat="false" ht="15.75" hidden="false" customHeight="false" outlineLevel="0" collapsed="false">
      <c r="B234" s="3" t="str">
        <f aca="false">IF(COUNTIF(Final_CB_O4_V5!$B$4:$B$523,A234)&gt;=1,"YES","NO")</f>
        <v>NO</v>
      </c>
      <c r="D234" s="3" t="str">
        <f aca="false">IF(COUNTIF(Final_CB_O4_V5!$C$4:$C$523,C234)&gt;=1,"YES","NO")</f>
        <v>NO</v>
      </c>
      <c r="G234" s="4"/>
      <c r="H234" s="4"/>
    </row>
    <row r="235" customFormat="false" ht="15.75" hidden="false" customHeight="false" outlineLevel="0" collapsed="false">
      <c r="B235" s="3" t="str">
        <f aca="false">IF(COUNTIF(Final_CB_O4_V5!$B$4:$B$523,A235)&gt;=1,"YES","NO")</f>
        <v>NO</v>
      </c>
      <c r="D235" s="3" t="str">
        <f aca="false">IF(COUNTIF(Final_CB_O4_V5!$C$4:$C$523,C235)&gt;=1,"YES","NO")</f>
        <v>NO</v>
      </c>
      <c r="G235" s="4"/>
      <c r="H235" s="4"/>
    </row>
    <row r="236" customFormat="false" ht="15.75" hidden="false" customHeight="false" outlineLevel="0" collapsed="false">
      <c r="B236" s="3" t="str">
        <f aca="false">IF(COUNTIF(Final_CB_O4_V5!$B$4:$B$523,A236)&gt;=1,"YES","NO")</f>
        <v>NO</v>
      </c>
      <c r="D236" s="3" t="str">
        <f aca="false">IF(COUNTIF(Final_CB_O4_V5!$C$4:$C$523,C236)&gt;=1,"YES","NO")</f>
        <v>NO</v>
      </c>
      <c r="G236" s="4"/>
      <c r="H236" s="4"/>
    </row>
    <row r="237" customFormat="false" ht="15.75" hidden="false" customHeight="false" outlineLevel="0" collapsed="false">
      <c r="B237" s="3" t="str">
        <f aca="false">IF(COUNTIF(Final_CB_O4_V5!$B$4:$B$523,A237)&gt;=1,"YES","NO")</f>
        <v>NO</v>
      </c>
      <c r="D237" s="3" t="str">
        <f aca="false">IF(COUNTIF(Final_CB_O4_V5!$C$4:$C$523,C237)&gt;=1,"YES","NO")</f>
        <v>NO</v>
      </c>
      <c r="G237" s="4"/>
      <c r="H237" s="4"/>
    </row>
    <row r="238" customFormat="false" ht="15.75" hidden="false" customHeight="false" outlineLevel="0" collapsed="false">
      <c r="B238" s="3" t="str">
        <f aca="false">IF(COUNTIF(Final_CB_O4_V5!$B$4:$B$523,A238)&gt;=1,"YES","NO")</f>
        <v>NO</v>
      </c>
      <c r="D238" s="3" t="str">
        <f aca="false">IF(COUNTIF(Final_CB_O4_V5!$C$4:$C$523,C238)&gt;=1,"YES","NO")</f>
        <v>NO</v>
      </c>
      <c r="G238" s="4"/>
      <c r="H238" s="4"/>
    </row>
    <row r="239" customFormat="false" ht="15.75" hidden="false" customHeight="false" outlineLevel="0" collapsed="false">
      <c r="B239" s="3" t="str">
        <f aca="false">IF(COUNTIF(Final_CB_O4_V5!$B$4:$B$523,A239)&gt;=1,"YES","NO")</f>
        <v>NO</v>
      </c>
      <c r="D239" s="3" t="str">
        <f aca="false">IF(COUNTIF(Final_CB_O4_V5!$C$4:$C$523,C239)&gt;=1,"YES","NO")</f>
        <v>NO</v>
      </c>
      <c r="G239" s="4"/>
      <c r="H239" s="4"/>
    </row>
    <row r="240" customFormat="false" ht="15.75" hidden="false" customHeight="false" outlineLevel="0" collapsed="false">
      <c r="B240" s="3" t="str">
        <f aca="false">IF(COUNTIF(Final_CB_O4_V5!$B$4:$B$523,A240)&gt;=1,"YES","NO")</f>
        <v>NO</v>
      </c>
      <c r="D240" s="3" t="str">
        <f aca="false">IF(COUNTIF(Final_CB_O4_V5!$C$4:$C$523,C240)&gt;=1,"YES","NO")</f>
        <v>NO</v>
      </c>
      <c r="G240" s="4"/>
      <c r="H240" s="4"/>
    </row>
    <row r="241" customFormat="false" ht="15.75" hidden="false" customHeight="false" outlineLevel="0" collapsed="false">
      <c r="B241" s="3" t="str">
        <f aca="false">IF(COUNTIF(Final_CB_O4_V5!$B$4:$B$523,A241)&gt;=1,"YES","NO")</f>
        <v>NO</v>
      </c>
      <c r="D241" s="3" t="str">
        <f aca="false">IF(COUNTIF(Final_CB_O4_V5!$C$4:$C$523,C241)&gt;=1,"YES","NO")</f>
        <v>NO</v>
      </c>
      <c r="G241" s="4"/>
      <c r="H241" s="4"/>
    </row>
    <row r="242" customFormat="false" ht="15.75" hidden="false" customHeight="false" outlineLevel="0" collapsed="false">
      <c r="B242" s="3" t="str">
        <f aca="false">IF(COUNTIF(Final_CB_O4_V5!$B$4:$B$523,A242)&gt;=1,"YES","NO")</f>
        <v>NO</v>
      </c>
      <c r="D242" s="3" t="str">
        <f aca="false">IF(COUNTIF(Final_CB_O4_V5!$C$4:$C$523,C242)&gt;=1,"YES","NO")</f>
        <v>NO</v>
      </c>
      <c r="G242" s="4"/>
      <c r="H242" s="4"/>
    </row>
    <row r="243" customFormat="false" ht="15.75" hidden="false" customHeight="false" outlineLevel="0" collapsed="false">
      <c r="B243" s="3" t="str">
        <f aca="false">IF(COUNTIF(Final_CB_O4_V5!$B$4:$B$523,A243)&gt;=1,"YES","NO")</f>
        <v>NO</v>
      </c>
      <c r="D243" s="3" t="str">
        <f aca="false">IF(COUNTIF(Final_CB_O4_V5!$C$4:$C$523,C243)&gt;=1,"YES","NO")</f>
        <v>NO</v>
      </c>
      <c r="G243" s="4"/>
      <c r="H243" s="4"/>
    </row>
    <row r="244" customFormat="false" ht="15.75" hidden="false" customHeight="false" outlineLevel="0" collapsed="false">
      <c r="B244" s="3" t="str">
        <f aca="false">IF(COUNTIF(Final_CB_O4_V5!$B$4:$B$523,A244)&gt;=1,"YES","NO")</f>
        <v>NO</v>
      </c>
      <c r="D244" s="3" t="str">
        <f aca="false">IF(COUNTIF(Final_CB_O4_V5!$C$4:$C$523,C244)&gt;=1,"YES","NO")</f>
        <v>NO</v>
      </c>
      <c r="G244" s="4"/>
      <c r="H244" s="4"/>
    </row>
    <row r="245" customFormat="false" ht="15.75" hidden="false" customHeight="false" outlineLevel="0" collapsed="false">
      <c r="B245" s="3" t="str">
        <f aca="false">IF(COUNTIF(Final_CB_O4_V5!$B$4:$B$523,A245)&gt;=1,"YES","NO")</f>
        <v>NO</v>
      </c>
      <c r="D245" s="3" t="str">
        <f aca="false">IF(COUNTIF(Final_CB_O4_V5!$C$4:$C$523,C245)&gt;=1,"YES","NO")</f>
        <v>NO</v>
      </c>
      <c r="G245" s="4"/>
      <c r="H245" s="4"/>
    </row>
    <row r="246" customFormat="false" ht="15.75" hidden="false" customHeight="false" outlineLevel="0" collapsed="false">
      <c r="B246" s="3" t="str">
        <f aca="false">IF(COUNTIF(Final_CB_O4_V5!$B$4:$B$523,A246)&gt;=1,"YES","NO")</f>
        <v>NO</v>
      </c>
      <c r="D246" s="3" t="str">
        <f aca="false">IF(COUNTIF(Final_CB_O4_V5!$C$4:$C$523,C246)&gt;=1,"YES","NO")</f>
        <v>NO</v>
      </c>
      <c r="G246" s="4"/>
      <c r="H246" s="4"/>
    </row>
    <row r="247" customFormat="false" ht="15.75" hidden="false" customHeight="false" outlineLevel="0" collapsed="false">
      <c r="B247" s="3" t="str">
        <f aca="false">IF(COUNTIF(Final_CB_O4_V5!$B$4:$B$523,A247)&gt;=1,"YES","NO")</f>
        <v>NO</v>
      </c>
      <c r="D247" s="3" t="str">
        <f aca="false">IF(COUNTIF(Final_CB_O4_V5!$C$4:$C$523,C247)&gt;=1,"YES","NO")</f>
        <v>NO</v>
      </c>
      <c r="G247" s="4"/>
      <c r="H247" s="4"/>
    </row>
    <row r="248" customFormat="false" ht="15.75" hidden="false" customHeight="false" outlineLevel="0" collapsed="false">
      <c r="B248" s="3" t="str">
        <f aca="false">IF(COUNTIF(Final_CB_O4_V5!$B$4:$B$523,A248)&gt;=1,"YES","NO")</f>
        <v>NO</v>
      </c>
      <c r="D248" s="3" t="str">
        <f aca="false">IF(COUNTIF(Final_CB_O4_V5!$C$4:$C$523,C248)&gt;=1,"YES","NO")</f>
        <v>NO</v>
      </c>
      <c r="G248" s="4"/>
      <c r="H248" s="4"/>
    </row>
    <row r="249" customFormat="false" ht="15.75" hidden="false" customHeight="false" outlineLevel="0" collapsed="false">
      <c r="B249" s="3" t="str">
        <f aca="false">IF(COUNTIF(Final_CB_O4_V5!$B$4:$B$523,A249)&gt;=1,"YES","NO")</f>
        <v>NO</v>
      </c>
      <c r="D249" s="3" t="str">
        <f aca="false">IF(COUNTIF(Final_CB_O4_V5!$C$4:$C$523,C249)&gt;=1,"YES","NO")</f>
        <v>NO</v>
      </c>
      <c r="G249" s="4"/>
      <c r="H249" s="4"/>
    </row>
    <row r="250" customFormat="false" ht="15.75" hidden="false" customHeight="false" outlineLevel="0" collapsed="false">
      <c r="B250" s="3" t="str">
        <f aca="false">IF(COUNTIF(Final_CB_O4_V5!$B$4:$B$523,A250)&gt;=1,"YES","NO")</f>
        <v>NO</v>
      </c>
      <c r="D250" s="3" t="str">
        <f aca="false">IF(COUNTIF(Final_CB_O4_V5!$C$4:$C$523,C250)&gt;=1,"YES","NO")</f>
        <v>NO</v>
      </c>
      <c r="G250" s="4"/>
      <c r="H250" s="4"/>
    </row>
    <row r="251" customFormat="false" ht="15.75" hidden="false" customHeight="false" outlineLevel="0" collapsed="false">
      <c r="B251" s="3" t="str">
        <f aca="false">IF(COUNTIF(Final_CB_O4_V5!$B$4:$B$523,A251)&gt;=1,"YES","NO")</f>
        <v>NO</v>
      </c>
      <c r="D251" s="3" t="str">
        <f aca="false">IF(COUNTIF(Final_CB_O4_V5!$C$4:$C$523,C251)&gt;=1,"YES","NO")</f>
        <v>NO</v>
      </c>
      <c r="G251" s="4"/>
      <c r="H251" s="4"/>
    </row>
    <row r="252" customFormat="false" ht="15.75" hidden="false" customHeight="false" outlineLevel="0" collapsed="false">
      <c r="B252" s="3" t="str">
        <f aca="false">IF(COUNTIF(Final_CB_O4_V5!$B$4:$B$523,A252)&gt;=1,"YES","NO")</f>
        <v>NO</v>
      </c>
      <c r="D252" s="3" t="str">
        <f aca="false">IF(COUNTIF(Final_CB_O4_V5!$C$4:$C$523,C252)&gt;=1,"YES","NO")</f>
        <v>NO</v>
      </c>
      <c r="G252" s="4"/>
      <c r="H252" s="4"/>
    </row>
    <row r="253" customFormat="false" ht="15.75" hidden="false" customHeight="false" outlineLevel="0" collapsed="false">
      <c r="B253" s="3" t="str">
        <f aca="false">IF(COUNTIF(Final_CB_O4_V5!$B$4:$B$523,A253)&gt;=1,"YES","NO")</f>
        <v>NO</v>
      </c>
      <c r="D253" s="3" t="str">
        <f aca="false">IF(COUNTIF(Final_CB_O4_V5!$C$4:$C$523,C253)&gt;=1,"YES","NO")</f>
        <v>NO</v>
      </c>
      <c r="G253" s="4"/>
      <c r="H253" s="4"/>
    </row>
    <row r="254" customFormat="false" ht="15.75" hidden="false" customHeight="false" outlineLevel="0" collapsed="false">
      <c r="B254" s="3" t="str">
        <f aca="false">IF(COUNTIF(Final_CB_O4_V5!$B$4:$B$523,A254)&gt;=1,"YES","NO")</f>
        <v>NO</v>
      </c>
      <c r="D254" s="3" t="str">
        <f aca="false">IF(COUNTIF(Final_CB_O4_V5!$C$4:$C$523,C254)&gt;=1,"YES","NO")</f>
        <v>NO</v>
      </c>
      <c r="G254" s="4"/>
      <c r="H254" s="4"/>
    </row>
    <row r="255" customFormat="false" ht="15.75" hidden="false" customHeight="false" outlineLevel="0" collapsed="false">
      <c r="B255" s="3" t="str">
        <f aca="false">IF(COUNTIF(Final_CB_O4_V5!$B$4:$B$523,A255)&gt;=1,"YES","NO")</f>
        <v>NO</v>
      </c>
      <c r="D255" s="3" t="str">
        <f aca="false">IF(COUNTIF(Final_CB_O4_V5!$C$4:$C$523,C255)&gt;=1,"YES","NO")</f>
        <v>NO</v>
      </c>
      <c r="G255" s="4"/>
      <c r="H255" s="4"/>
    </row>
    <row r="256" customFormat="false" ht="15.75" hidden="false" customHeight="false" outlineLevel="0" collapsed="false">
      <c r="B256" s="3" t="str">
        <f aca="false">IF(COUNTIF(Final_CB_O4_V5!$B$4:$B$523,A256)&gt;=1,"YES","NO")</f>
        <v>NO</v>
      </c>
      <c r="D256" s="3" t="str">
        <f aca="false">IF(COUNTIF(Final_CB_O4_V5!$C$4:$C$523,C256)&gt;=1,"YES","NO")</f>
        <v>NO</v>
      </c>
      <c r="G256" s="4"/>
      <c r="H256" s="4"/>
    </row>
    <row r="257" customFormat="false" ht="15.75" hidden="false" customHeight="false" outlineLevel="0" collapsed="false">
      <c r="B257" s="3" t="str">
        <f aca="false">IF(COUNTIF(Final_CB_O4_V5!$B$4:$B$523,A257)&gt;=1,"YES","NO")</f>
        <v>NO</v>
      </c>
      <c r="D257" s="3" t="str">
        <f aca="false">IF(COUNTIF(Final_CB_O4_V5!$C$4:$C$523,C257)&gt;=1,"YES","NO")</f>
        <v>NO</v>
      </c>
      <c r="G257" s="4"/>
      <c r="H257" s="4"/>
    </row>
    <row r="258" customFormat="false" ht="15.75" hidden="false" customHeight="false" outlineLevel="0" collapsed="false">
      <c r="B258" s="3" t="str">
        <f aca="false">IF(COUNTIF(Final_CB_O4_V5!$B$4:$B$523,A258)&gt;=1,"YES","NO")</f>
        <v>NO</v>
      </c>
      <c r="D258" s="3" t="str">
        <f aca="false">IF(COUNTIF(Final_CB_O4_V5!$C$4:$C$523,C258)&gt;=1,"YES","NO")</f>
        <v>NO</v>
      </c>
      <c r="G258" s="4"/>
      <c r="H258" s="4"/>
    </row>
    <row r="259" customFormat="false" ht="15.75" hidden="false" customHeight="false" outlineLevel="0" collapsed="false">
      <c r="B259" s="3" t="str">
        <f aca="false">IF(COUNTIF(Final_CB_O4_V5!$B$4:$B$523,A259)&gt;=1,"YES","NO")</f>
        <v>NO</v>
      </c>
      <c r="D259" s="3" t="str">
        <f aca="false">IF(COUNTIF(Final_CB_O4_V5!$C$4:$C$523,C259)&gt;=1,"YES","NO")</f>
        <v>NO</v>
      </c>
      <c r="G259" s="4"/>
      <c r="H259" s="4"/>
    </row>
    <row r="260" customFormat="false" ht="15.75" hidden="false" customHeight="false" outlineLevel="0" collapsed="false">
      <c r="B260" s="3" t="str">
        <f aca="false">IF(COUNTIF(Final_CB_O4_V5!$B$4:$B$523,A260)&gt;=1,"YES","NO")</f>
        <v>NO</v>
      </c>
      <c r="D260" s="3" t="str">
        <f aca="false">IF(COUNTIF(Final_CB_O4_V5!$C$4:$C$523,C260)&gt;=1,"YES","NO")</f>
        <v>NO</v>
      </c>
      <c r="G260" s="4"/>
      <c r="H260" s="4"/>
    </row>
    <row r="261" customFormat="false" ht="15.75" hidden="false" customHeight="false" outlineLevel="0" collapsed="false">
      <c r="B261" s="3" t="str">
        <f aca="false">IF(COUNTIF(Final_CB_O4_V5!$B$4:$B$523,A261)&gt;=1,"YES","NO")</f>
        <v>NO</v>
      </c>
      <c r="D261" s="3" t="str">
        <f aca="false">IF(COUNTIF(Final_CB_O4_V5!$C$4:$C$523,C261)&gt;=1,"YES","NO")</f>
        <v>NO</v>
      </c>
      <c r="G261" s="4"/>
      <c r="H261" s="4"/>
    </row>
    <row r="262" customFormat="false" ht="15.75" hidden="false" customHeight="false" outlineLevel="0" collapsed="false">
      <c r="B262" s="3" t="str">
        <f aca="false">IF(COUNTIF(Final_CB_O4_V5!$B$4:$B$523,A262)&gt;=1,"YES","NO")</f>
        <v>NO</v>
      </c>
      <c r="D262" s="3" t="str">
        <f aca="false">IF(COUNTIF(Final_CB_O4_V5!$C$4:$C$523,C262)&gt;=1,"YES","NO")</f>
        <v>NO</v>
      </c>
      <c r="G262" s="4"/>
      <c r="H262" s="4"/>
    </row>
    <row r="263" customFormat="false" ht="15.75" hidden="false" customHeight="false" outlineLevel="0" collapsed="false">
      <c r="B263" s="3" t="str">
        <f aca="false">IF(COUNTIF(Final_CB_O4_V5!$B$4:$B$523,A263)&gt;=1,"YES","NO")</f>
        <v>NO</v>
      </c>
      <c r="D263" s="3" t="str">
        <f aca="false">IF(COUNTIF(Final_CB_O4_V5!$C$4:$C$523,C263)&gt;=1,"YES","NO")</f>
        <v>NO</v>
      </c>
      <c r="G263" s="4"/>
      <c r="H263" s="4"/>
    </row>
    <row r="264" customFormat="false" ht="15.75" hidden="false" customHeight="false" outlineLevel="0" collapsed="false">
      <c r="B264" s="3" t="str">
        <f aca="false">IF(COUNTIF(Final_CB_O4_V5!$B$4:$B$523,A264)&gt;=1,"YES","NO")</f>
        <v>NO</v>
      </c>
      <c r="D264" s="3" t="str">
        <f aca="false">IF(COUNTIF(Final_CB_O4_V5!$C$4:$C$523,C264)&gt;=1,"YES","NO")</f>
        <v>NO</v>
      </c>
      <c r="G264" s="4"/>
      <c r="H264" s="4"/>
    </row>
    <row r="265" customFormat="false" ht="15.75" hidden="false" customHeight="false" outlineLevel="0" collapsed="false">
      <c r="B265" s="3" t="str">
        <f aca="false">IF(COUNTIF(Final_CB_O4_V5!$B$4:$B$523,A265)&gt;=1,"YES","NO")</f>
        <v>NO</v>
      </c>
      <c r="D265" s="3" t="str">
        <f aca="false">IF(COUNTIF(Final_CB_O4_V5!$C$4:$C$523,C265)&gt;=1,"YES","NO")</f>
        <v>NO</v>
      </c>
      <c r="G265" s="4"/>
      <c r="H265" s="4"/>
    </row>
    <row r="266" customFormat="false" ht="15.75" hidden="false" customHeight="false" outlineLevel="0" collapsed="false">
      <c r="B266" s="3" t="str">
        <f aca="false">IF(COUNTIF(Final_CB_O4_V5!$B$4:$B$523,A266)&gt;=1,"YES","NO")</f>
        <v>NO</v>
      </c>
      <c r="D266" s="3" t="str">
        <f aca="false">IF(COUNTIF(Final_CB_O4_V5!$C$4:$C$523,C266)&gt;=1,"YES","NO")</f>
        <v>NO</v>
      </c>
      <c r="G266" s="4"/>
      <c r="H266" s="4"/>
    </row>
    <row r="267" customFormat="false" ht="15.75" hidden="false" customHeight="false" outlineLevel="0" collapsed="false">
      <c r="B267" s="3" t="str">
        <f aca="false">IF(COUNTIF(Final_CB_O4_V5!$B$4:$B$523,A267)&gt;=1,"YES","NO")</f>
        <v>NO</v>
      </c>
      <c r="D267" s="3" t="str">
        <f aca="false">IF(COUNTIF(Final_CB_O4_V5!$C$4:$C$523,C267)&gt;=1,"YES","NO")</f>
        <v>NO</v>
      </c>
      <c r="G267" s="4"/>
      <c r="H267" s="4"/>
    </row>
    <row r="268" customFormat="false" ht="15.75" hidden="false" customHeight="false" outlineLevel="0" collapsed="false">
      <c r="B268" s="3" t="str">
        <f aca="false">IF(COUNTIF(Final_CB_O4_V5!$B$4:$B$523,A268)&gt;=1,"YES","NO")</f>
        <v>NO</v>
      </c>
      <c r="D268" s="3" t="str">
        <f aca="false">IF(COUNTIF(Final_CB_O4_V5!$C$4:$C$523,C268)&gt;=1,"YES","NO")</f>
        <v>NO</v>
      </c>
      <c r="G268" s="4"/>
      <c r="H268" s="4"/>
    </row>
    <row r="269" customFormat="false" ht="15.75" hidden="false" customHeight="false" outlineLevel="0" collapsed="false">
      <c r="B269" s="3" t="str">
        <f aca="false">IF(COUNTIF(Final_CB_O4_V5!$B$4:$B$523,A269)&gt;=1,"YES","NO")</f>
        <v>NO</v>
      </c>
      <c r="D269" s="3" t="str">
        <f aca="false">IF(COUNTIF(Final_CB_O4_V5!$C$4:$C$523,C269)&gt;=1,"YES","NO")</f>
        <v>NO</v>
      </c>
      <c r="G269" s="4"/>
      <c r="H269" s="4"/>
    </row>
    <row r="270" customFormat="false" ht="15.75" hidden="false" customHeight="false" outlineLevel="0" collapsed="false">
      <c r="B270" s="3" t="str">
        <f aca="false">IF(COUNTIF(Final_CB_O4_V5!$B$4:$B$523,A270)&gt;=1,"YES","NO")</f>
        <v>NO</v>
      </c>
      <c r="D270" s="3" t="str">
        <f aca="false">IF(COUNTIF(Final_CB_O4_V5!$C$4:$C$523,C270)&gt;=1,"YES","NO")</f>
        <v>NO</v>
      </c>
      <c r="G270" s="4"/>
      <c r="H270" s="4"/>
    </row>
    <row r="271" customFormat="false" ht="15.75" hidden="false" customHeight="false" outlineLevel="0" collapsed="false">
      <c r="B271" s="3" t="str">
        <f aca="false">IF(COUNTIF(Final_CB_O4_V5!$B$4:$B$523,A271)&gt;=1,"YES","NO")</f>
        <v>NO</v>
      </c>
      <c r="D271" s="3" t="str">
        <f aca="false">IF(COUNTIF(Final_CB_O4_V5!$C$4:$C$523,C271)&gt;=1,"YES","NO")</f>
        <v>NO</v>
      </c>
      <c r="G271" s="4"/>
      <c r="H271" s="4"/>
    </row>
    <row r="272" customFormat="false" ht="15.75" hidden="false" customHeight="false" outlineLevel="0" collapsed="false">
      <c r="B272" s="3" t="str">
        <f aca="false">IF(COUNTIF(Final_CB_O4_V5!$B$4:$B$523,A272)&gt;=1,"YES","NO")</f>
        <v>NO</v>
      </c>
      <c r="D272" s="3" t="str">
        <f aca="false">IF(COUNTIF(Final_CB_O4_V5!$C$4:$C$523,C272)&gt;=1,"YES","NO")</f>
        <v>NO</v>
      </c>
      <c r="G272" s="4"/>
      <c r="H272" s="4"/>
    </row>
    <row r="273" customFormat="false" ht="15.75" hidden="false" customHeight="false" outlineLevel="0" collapsed="false">
      <c r="B273" s="3" t="str">
        <f aca="false">IF(COUNTIF(Final_CB_O4_V5!$B$4:$B$523,A273)&gt;=1,"YES","NO")</f>
        <v>NO</v>
      </c>
      <c r="D273" s="3" t="str">
        <f aca="false">IF(COUNTIF(Final_CB_O4_V5!$C$4:$C$523,C273)&gt;=1,"YES","NO")</f>
        <v>NO</v>
      </c>
      <c r="G273" s="4"/>
      <c r="H273" s="4"/>
    </row>
    <row r="274" customFormat="false" ht="15.75" hidden="false" customHeight="false" outlineLevel="0" collapsed="false">
      <c r="B274" s="3" t="str">
        <f aca="false">IF(COUNTIF(Final_CB_O4_V5!$B$4:$B$523,A274)&gt;=1,"YES","NO")</f>
        <v>NO</v>
      </c>
      <c r="D274" s="3" t="str">
        <f aca="false">IF(COUNTIF(Final_CB_O4_V5!$C$4:$C$523,C274)&gt;=1,"YES","NO")</f>
        <v>NO</v>
      </c>
      <c r="G274" s="4"/>
      <c r="H274" s="4"/>
    </row>
    <row r="275" customFormat="false" ht="15.75" hidden="false" customHeight="false" outlineLevel="0" collapsed="false">
      <c r="B275" s="3" t="str">
        <f aca="false">IF(COUNTIF(Final_CB_O4_V5!$B$4:$B$523,A275)&gt;=1,"YES","NO")</f>
        <v>NO</v>
      </c>
      <c r="D275" s="3" t="str">
        <f aca="false">IF(COUNTIF(Final_CB_O4_V5!$C$4:$C$523,C275)&gt;=1,"YES","NO")</f>
        <v>NO</v>
      </c>
      <c r="G275" s="4"/>
      <c r="H275" s="4"/>
    </row>
    <row r="276" customFormat="false" ht="15.75" hidden="false" customHeight="false" outlineLevel="0" collapsed="false">
      <c r="B276" s="3" t="str">
        <f aca="false">IF(COUNTIF(Final_CB_O4_V5!$B$4:$B$523,A276)&gt;=1,"YES","NO")</f>
        <v>NO</v>
      </c>
      <c r="D276" s="3" t="str">
        <f aca="false">IF(COUNTIF(Final_CB_O4_V5!$C$4:$C$523,C276)&gt;=1,"YES","NO")</f>
        <v>NO</v>
      </c>
      <c r="G276" s="4"/>
      <c r="H276" s="4"/>
    </row>
    <row r="277" customFormat="false" ht="15.75" hidden="false" customHeight="false" outlineLevel="0" collapsed="false">
      <c r="B277" s="3" t="str">
        <f aca="false">IF(COUNTIF(Final_CB_O4_V5!$B$4:$B$523,A277)&gt;=1,"YES","NO")</f>
        <v>NO</v>
      </c>
      <c r="D277" s="3" t="str">
        <f aca="false">IF(COUNTIF(Final_CB_O4_V5!$C$4:$C$523,C277)&gt;=1,"YES","NO")</f>
        <v>NO</v>
      </c>
      <c r="G277" s="4"/>
      <c r="H277" s="4"/>
    </row>
    <row r="278" customFormat="false" ht="15.75" hidden="false" customHeight="false" outlineLevel="0" collapsed="false">
      <c r="B278" s="3" t="str">
        <f aca="false">IF(COUNTIF(Final_CB_O4_V5!$B$4:$B$523,A278)&gt;=1,"YES","NO")</f>
        <v>NO</v>
      </c>
      <c r="D278" s="3" t="str">
        <f aca="false">IF(COUNTIF(Final_CB_O4_V5!$C$4:$C$523,C278)&gt;=1,"YES","NO")</f>
        <v>NO</v>
      </c>
      <c r="G278" s="4"/>
      <c r="H278" s="4"/>
    </row>
    <row r="279" customFormat="false" ht="15.75" hidden="false" customHeight="false" outlineLevel="0" collapsed="false">
      <c r="B279" s="3" t="str">
        <f aca="false">IF(COUNTIF(Final_CB_O4_V5!$B$4:$B$523,A279)&gt;=1,"YES","NO")</f>
        <v>NO</v>
      </c>
      <c r="D279" s="3" t="str">
        <f aca="false">IF(COUNTIF(Final_CB_O4_V5!$C$4:$C$523,C279)&gt;=1,"YES","NO")</f>
        <v>NO</v>
      </c>
      <c r="G279" s="4"/>
      <c r="H279" s="4"/>
    </row>
    <row r="280" customFormat="false" ht="15.75" hidden="false" customHeight="false" outlineLevel="0" collapsed="false">
      <c r="B280" s="3" t="str">
        <f aca="false">IF(COUNTIF(Final_CB_O4_V5!$B$4:$B$523,A280)&gt;=1,"YES","NO")</f>
        <v>NO</v>
      </c>
      <c r="D280" s="3" t="str">
        <f aca="false">IF(COUNTIF(Final_CB_O4_V5!$C$4:$C$523,C280)&gt;=1,"YES","NO")</f>
        <v>NO</v>
      </c>
      <c r="G280" s="4"/>
      <c r="H280" s="4"/>
    </row>
    <row r="281" customFormat="false" ht="15.75" hidden="false" customHeight="false" outlineLevel="0" collapsed="false">
      <c r="B281" s="3" t="str">
        <f aca="false">IF(COUNTIF(Final_CB_O4_V5!$B$4:$B$523,A281)&gt;=1,"YES","NO")</f>
        <v>NO</v>
      </c>
      <c r="D281" s="3" t="str">
        <f aca="false">IF(COUNTIF(Final_CB_O4_V5!$C$4:$C$523,C281)&gt;=1,"YES","NO")</f>
        <v>NO</v>
      </c>
      <c r="G281" s="4"/>
      <c r="H281" s="4"/>
    </row>
    <row r="282" customFormat="false" ht="15.75" hidden="false" customHeight="false" outlineLevel="0" collapsed="false">
      <c r="B282" s="3" t="str">
        <f aca="false">IF(COUNTIF(Final_CB_O4_V5!$B$4:$B$523,A282)&gt;=1,"YES","NO")</f>
        <v>NO</v>
      </c>
      <c r="D282" s="3" t="str">
        <f aca="false">IF(COUNTIF(Final_CB_O4_V5!$C$4:$C$523,C282)&gt;=1,"YES","NO")</f>
        <v>NO</v>
      </c>
      <c r="G282" s="4"/>
      <c r="H282" s="4"/>
    </row>
    <row r="283" customFormat="false" ht="15.75" hidden="false" customHeight="false" outlineLevel="0" collapsed="false">
      <c r="B283" s="3" t="str">
        <f aca="false">IF(COUNTIF(Final_CB_O4_V5!$B$4:$B$523,A283)&gt;=1,"YES","NO")</f>
        <v>NO</v>
      </c>
      <c r="D283" s="3" t="str">
        <f aca="false">IF(COUNTIF(Final_CB_O4_V5!$C$4:$C$523,C283)&gt;=1,"YES","NO")</f>
        <v>NO</v>
      </c>
      <c r="G283" s="4"/>
      <c r="H283" s="4"/>
    </row>
    <row r="284" customFormat="false" ht="15.75" hidden="false" customHeight="false" outlineLevel="0" collapsed="false">
      <c r="B284" s="3" t="str">
        <f aca="false">IF(COUNTIF(Final_CB_O4_V5!$B$4:$B$523,A284)&gt;=1,"YES","NO")</f>
        <v>NO</v>
      </c>
      <c r="D284" s="3" t="str">
        <f aca="false">IF(COUNTIF(Final_CB_O4_V5!$C$4:$C$523,C284)&gt;=1,"YES","NO")</f>
        <v>NO</v>
      </c>
      <c r="G284" s="4"/>
      <c r="H284" s="4"/>
    </row>
    <row r="285" customFormat="false" ht="15.75" hidden="false" customHeight="false" outlineLevel="0" collapsed="false">
      <c r="B285" s="3" t="str">
        <f aca="false">IF(COUNTIF(Final_CB_O4_V5!$B$4:$B$523,A285)&gt;=1,"YES","NO")</f>
        <v>NO</v>
      </c>
      <c r="D285" s="3" t="str">
        <f aca="false">IF(COUNTIF(Final_CB_O4_V5!$C$4:$C$523,C285)&gt;=1,"YES","NO")</f>
        <v>NO</v>
      </c>
      <c r="G285" s="4"/>
      <c r="H285" s="4"/>
    </row>
    <row r="286" customFormat="false" ht="15.75" hidden="false" customHeight="false" outlineLevel="0" collapsed="false">
      <c r="B286" s="3" t="str">
        <f aca="false">IF(COUNTIF(Final_CB_O4_V5!$B$4:$B$523,A286)&gt;=1,"YES","NO")</f>
        <v>NO</v>
      </c>
      <c r="D286" s="3" t="str">
        <f aca="false">IF(COUNTIF(Final_CB_O4_V5!$C$4:$C$523,C286)&gt;=1,"YES","NO")</f>
        <v>NO</v>
      </c>
      <c r="G286" s="4"/>
      <c r="H286" s="4"/>
    </row>
    <row r="287" customFormat="false" ht="15.75" hidden="false" customHeight="false" outlineLevel="0" collapsed="false">
      <c r="B287" s="3" t="str">
        <f aca="false">IF(COUNTIF(Final_CB_O4_V5!$B$4:$B$523,A287)&gt;=1,"YES","NO")</f>
        <v>NO</v>
      </c>
      <c r="D287" s="3" t="str">
        <f aca="false">IF(COUNTIF(Final_CB_O4_V5!$C$4:$C$523,C287)&gt;=1,"YES","NO")</f>
        <v>NO</v>
      </c>
      <c r="G287" s="4"/>
      <c r="H287" s="4"/>
    </row>
    <row r="288" customFormat="false" ht="15.75" hidden="false" customHeight="false" outlineLevel="0" collapsed="false">
      <c r="B288" s="3" t="str">
        <f aca="false">IF(COUNTIF(Final_CB_O4_V5!$B$4:$B$523,A288)&gt;=1,"YES","NO")</f>
        <v>NO</v>
      </c>
      <c r="D288" s="3" t="str">
        <f aca="false">IF(COUNTIF(Final_CB_O4_V5!$C$4:$C$523,C288)&gt;=1,"YES","NO")</f>
        <v>NO</v>
      </c>
      <c r="G288" s="4"/>
      <c r="H288" s="4"/>
    </row>
    <row r="289" customFormat="false" ht="15.75" hidden="false" customHeight="false" outlineLevel="0" collapsed="false">
      <c r="B289" s="3" t="str">
        <f aca="false">IF(COUNTIF(Final_CB_O4_V5!$B$4:$B$523,A289)&gt;=1,"YES","NO")</f>
        <v>NO</v>
      </c>
      <c r="D289" s="3" t="str">
        <f aca="false">IF(COUNTIF(Final_CB_O4_V5!$C$4:$C$523,C289)&gt;=1,"YES","NO")</f>
        <v>NO</v>
      </c>
      <c r="G289" s="4"/>
      <c r="H289" s="4"/>
    </row>
    <row r="290" customFormat="false" ht="15.75" hidden="false" customHeight="false" outlineLevel="0" collapsed="false">
      <c r="B290" s="3" t="str">
        <f aca="false">IF(COUNTIF(Final_CB_O4_V5!$B$4:$B$523,A290)&gt;=1,"YES","NO")</f>
        <v>NO</v>
      </c>
      <c r="D290" s="3" t="str">
        <f aca="false">IF(COUNTIF(Final_CB_O4_V5!$C$4:$C$523,C290)&gt;=1,"YES","NO")</f>
        <v>NO</v>
      </c>
      <c r="G290" s="4"/>
      <c r="H290" s="4"/>
    </row>
    <row r="291" customFormat="false" ht="15.75" hidden="false" customHeight="false" outlineLevel="0" collapsed="false">
      <c r="B291" s="3" t="str">
        <f aca="false">IF(COUNTIF(Final_CB_O4_V5!$B$4:$B$523,A291)&gt;=1,"YES","NO")</f>
        <v>NO</v>
      </c>
      <c r="D291" s="3" t="str">
        <f aca="false">IF(COUNTIF(Final_CB_O4_V5!$C$4:$C$523,C291)&gt;=1,"YES","NO")</f>
        <v>NO</v>
      </c>
      <c r="G291" s="4"/>
      <c r="H291" s="4"/>
    </row>
    <row r="292" customFormat="false" ht="15.75" hidden="false" customHeight="false" outlineLevel="0" collapsed="false">
      <c r="B292" s="3" t="str">
        <f aca="false">IF(COUNTIF(Final_CB_O4_V5!$B$4:$B$523,A292)&gt;=1,"YES","NO")</f>
        <v>NO</v>
      </c>
      <c r="D292" s="3" t="str">
        <f aca="false">IF(COUNTIF(Final_CB_O4_V5!$C$4:$C$523,C292)&gt;=1,"YES","NO")</f>
        <v>NO</v>
      </c>
      <c r="G292" s="4"/>
      <c r="H292" s="4"/>
    </row>
    <row r="293" customFormat="false" ht="15.75" hidden="false" customHeight="false" outlineLevel="0" collapsed="false">
      <c r="B293" s="3" t="str">
        <f aca="false">IF(COUNTIF(Final_CB_O4_V5!$B$4:$B$523,A293)&gt;=1,"YES","NO")</f>
        <v>NO</v>
      </c>
      <c r="D293" s="3" t="str">
        <f aca="false">IF(COUNTIF(Final_CB_O4_V5!$C$4:$C$523,C293)&gt;=1,"YES","NO")</f>
        <v>NO</v>
      </c>
      <c r="G293" s="4"/>
      <c r="H293" s="4"/>
    </row>
    <row r="294" customFormat="false" ht="15.75" hidden="false" customHeight="false" outlineLevel="0" collapsed="false">
      <c r="B294" s="3" t="str">
        <f aca="false">IF(COUNTIF(Final_CB_O4_V5!$B$4:$B$523,A294)&gt;=1,"YES","NO")</f>
        <v>NO</v>
      </c>
      <c r="D294" s="3" t="str">
        <f aca="false">IF(COUNTIF(Final_CB_O4_V5!$C$4:$C$523,C294)&gt;=1,"YES","NO")</f>
        <v>NO</v>
      </c>
      <c r="G294" s="4"/>
      <c r="H294" s="4"/>
    </row>
    <row r="295" customFormat="false" ht="15.75" hidden="false" customHeight="false" outlineLevel="0" collapsed="false">
      <c r="B295" s="3" t="str">
        <f aca="false">IF(COUNTIF(Final_CB_O4_V5!$B$4:$B$523,A295)&gt;=1,"YES","NO")</f>
        <v>NO</v>
      </c>
      <c r="D295" s="3" t="str">
        <f aca="false">IF(COUNTIF(Final_CB_O4_V5!$C$4:$C$523,C295)&gt;=1,"YES","NO")</f>
        <v>NO</v>
      </c>
      <c r="G295" s="4"/>
      <c r="H295" s="4"/>
    </row>
    <row r="296" customFormat="false" ht="15.75" hidden="false" customHeight="false" outlineLevel="0" collapsed="false">
      <c r="B296" s="3" t="str">
        <f aca="false">IF(COUNTIF(Final_CB_O4_V5!$B$4:$B$523,A296)&gt;=1,"YES","NO")</f>
        <v>NO</v>
      </c>
      <c r="D296" s="3" t="str">
        <f aca="false">IF(COUNTIF(Final_CB_O4_V5!$C$4:$C$523,C296)&gt;=1,"YES","NO")</f>
        <v>NO</v>
      </c>
      <c r="G296" s="4"/>
      <c r="H296" s="4"/>
    </row>
    <row r="297" customFormat="false" ht="15.75" hidden="false" customHeight="false" outlineLevel="0" collapsed="false">
      <c r="B297" s="3" t="str">
        <f aca="false">IF(COUNTIF(Final_CB_O4_V5!$B$4:$B$523,A297)&gt;=1,"YES","NO")</f>
        <v>NO</v>
      </c>
      <c r="D297" s="3" t="str">
        <f aca="false">IF(COUNTIF(Final_CB_O4_V5!$C$4:$C$523,C297)&gt;=1,"YES","NO")</f>
        <v>NO</v>
      </c>
      <c r="G297" s="4"/>
      <c r="H297" s="4"/>
    </row>
    <row r="298" customFormat="false" ht="15.75" hidden="false" customHeight="false" outlineLevel="0" collapsed="false">
      <c r="B298" s="3" t="str">
        <f aca="false">IF(COUNTIF(Final_CB_O4_V5!$B$4:$B$523,A298)&gt;=1,"YES","NO")</f>
        <v>NO</v>
      </c>
      <c r="D298" s="3" t="str">
        <f aca="false">IF(COUNTIF(Final_CB_O4_V5!$C$4:$C$523,C298)&gt;=1,"YES","NO")</f>
        <v>NO</v>
      </c>
      <c r="G298" s="4"/>
      <c r="H298" s="4"/>
    </row>
    <row r="299" customFormat="false" ht="15.75" hidden="false" customHeight="false" outlineLevel="0" collapsed="false">
      <c r="G299" s="4"/>
      <c r="H299" s="4"/>
    </row>
    <row r="300" customFormat="false" ht="15.75" hidden="false" customHeight="false" outlineLevel="0" collapsed="false">
      <c r="G300" s="4"/>
      <c r="H300" s="4"/>
    </row>
    <row r="301" customFormat="false" ht="15.75" hidden="false" customHeight="false" outlineLevel="0" collapsed="false">
      <c r="G301" s="4"/>
      <c r="H301" s="4"/>
    </row>
    <row r="302" customFormat="false" ht="15.75" hidden="false" customHeight="false" outlineLevel="0" collapsed="false">
      <c r="G302" s="4"/>
      <c r="H302" s="4"/>
    </row>
    <row r="303" customFormat="false" ht="15.75" hidden="false" customHeight="false" outlineLevel="0" collapsed="false">
      <c r="G303" s="4"/>
      <c r="H303" s="4"/>
    </row>
    <row r="304" customFormat="false" ht="15.75" hidden="false" customHeight="false" outlineLevel="0" collapsed="false">
      <c r="G304" s="4"/>
      <c r="H304" s="4"/>
    </row>
    <row r="305" customFormat="false" ht="15.75" hidden="false" customHeight="false" outlineLevel="0" collapsed="false">
      <c r="G305" s="4"/>
      <c r="H305" s="4"/>
    </row>
    <row r="306" customFormat="false" ht="15.75" hidden="false" customHeight="false" outlineLevel="0" collapsed="false">
      <c r="G306" s="4"/>
      <c r="H306" s="4"/>
    </row>
    <row r="307" customFormat="false" ht="15.75" hidden="false" customHeight="false" outlineLevel="0" collapsed="false">
      <c r="G307" s="4"/>
      <c r="H307" s="4"/>
    </row>
    <row r="308" customFormat="false" ht="15.75" hidden="false" customHeight="false" outlineLevel="0" collapsed="false">
      <c r="G308" s="4"/>
      <c r="H308" s="4"/>
    </row>
    <row r="309" customFormat="false" ht="15.75" hidden="false" customHeight="false" outlineLevel="0" collapsed="false">
      <c r="G309" s="4"/>
      <c r="H309" s="4"/>
    </row>
    <row r="310" customFormat="false" ht="15.75" hidden="false" customHeight="false" outlineLevel="0" collapsed="false">
      <c r="G310" s="4"/>
      <c r="H310" s="4"/>
    </row>
    <row r="311" customFormat="false" ht="15.75" hidden="false" customHeight="false" outlineLevel="0" collapsed="false">
      <c r="G311" s="4"/>
      <c r="H311" s="4"/>
    </row>
    <row r="312" customFormat="false" ht="15.75" hidden="false" customHeight="false" outlineLevel="0" collapsed="false">
      <c r="G312" s="4"/>
      <c r="H312" s="4"/>
    </row>
    <row r="313" customFormat="false" ht="15.75" hidden="false" customHeight="false" outlineLevel="0" collapsed="false">
      <c r="G313" s="4"/>
      <c r="H313" s="4"/>
    </row>
    <row r="314" customFormat="false" ht="15.75" hidden="false" customHeight="false" outlineLevel="0" collapsed="false">
      <c r="G314" s="4"/>
      <c r="H314" s="4"/>
    </row>
    <row r="315" customFormat="false" ht="15.75" hidden="false" customHeight="false" outlineLevel="0" collapsed="false">
      <c r="G315" s="4"/>
      <c r="H315" s="4"/>
    </row>
    <row r="316" customFormat="false" ht="15.75" hidden="false" customHeight="false" outlineLevel="0" collapsed="false">
      <c r="G316" s="4"/>
      <c r="H316" s="4"/>
    </row>
    <row r="317" customFormat="false" ht="15.75" hidden="false" customHeight="false" outlineLevel="0" collapsed="false">
      <c r="G317" s="4"/>
      <c r="H317" s="4"/>
    </row>
    <row r="318" customFormat="false" ht="15.75" hidden="false" customHeight="false" outlineLevel="0" collapsed="false">
      <c r="G318" s="4"/>
      <c r="H318" s="4"/>
    </row>
    <row r="319" customFormat="false" ht="15.75" hidden="false" customHeight="false" outlineLevel="0" collapsed="false">
      <c r="G319" s="4"/>
      <c r="H319" s="4"/>
    </row>
    <row r="320" customFormat="false" ht="15.75" hidden="false" customHeight="false" outlineLevel="0" collapsed="false">
      <c r="G320" s="4"/>
      <c r="H320" s="4"/>
    </row>
    <row r="321" customFormat="false" ht="15.75" hidden="false" customHeight="false" outlineLevel="0" collapsed="false">
      <c r="G321" s="4"/>
      <c r="H321" s="4"/>
    </row>
    <row r="322" customFormat="false" ht="15.75" hidden="false" customHeight="false" outlineLevel="0" collapsed="false">
      <c r="G322" s="4"/>
      <c r="H322" s="4"/>
    </row>
    <row r="323" customFormat="false" ht="15.75" hidden="false" customHeight="false" outlineLevel="0" collapsed="false">
      <c r="G323" s="4"/>
      <c r="H323" s="4"/>
    </row>
    <row r="324" customFormat="false" ht="15.75" hidden="false" customHeight="false" outlineLevel="0" collapsed="false">
      <c r="G324" s="4"/>
      <c r="H324" s="4"/>
    </row>
    <row r="325" customFormat="false" ht="15.75" hidden="false" customHeight="false" outlineLevel="0" collapsed="false">
      <c r="G325" s="4"/>
      <c r="H325" s="4"/>
    </row>
    <row r="326" customFormat="false" ht="15.75" hidden="false" customHeight="false" outlineLevel="0" collapsed="false">
      <c r="G326" s="4"/>
      <c r="H326" s="4"/>
    </row>
    <row r="327" customFormat="false" ht="15.75" hidden="false" customHeight="false" outlineLevel="0" collapsed="false">
      <c r="G327" s="4"/>
      <c r="H327" s="4"/>
    </row>
    <row r="328" customFormat="false" ht="15.75" hidden="false" customHeight="false" outlineLevel="0" collapsed="false">
      <c r="G328" s="4"/>
      <c r="H328" s="4"/>
    </row>
    <row r="329" customFormat="false" ht="15.75" hidden="false" customHeight="false" outlineLevel="0" collapsed="false">
      <c r="G329" s="4"/>
      <c r="H329" s="4"/>
    </row>
    <row r="330" customFormat="false" ht="15.75" hidden="false" customHeight="false" outlineLevel="0" collapsed="false">
      <c r="G330" s="4"/>
      <c r="H330" s="4"/>
    </row>
    <row r="331" customFormat="false" ht="15.75" hidden="false" customHeight="false" outlineLevel="0" collapsed="false">
      <c r="G331" s="4"/>
      <c r="H331" s="4"/>
    </row>
    <row r="332" customFormat="false" ht="15.75" hidden="false" customHeight="false" outlineLevel="0" collapsed="false">
      <c r="G332" s="4"/>
      <c r="H332" s="4"/>
    </row>
    <row r="333" customFormat="false" ht="15.75" hidden="false" customHeight="false" outlineLevel="0" collapsed="false">
      <c r="G333" s="4"/>
      <c r="H333" s="4"/>
    </row>
    <row r="334" customFormat="false" ht="15.75" hidden="false" customHeight="false" outlineLevel="0" collapsed="false">
      <c r="G334" s="4"/>
      <c r="H334" s="4"/>
    </row>
    <row r="335" customFormat="false" ht="15.75" hidden="false" customHeight="false" outlineLevel="0" collapsed="false">
      <c r="G335" s="4"/>
      <c r="H335" s="4"/>
    </row>
    <row r="336" customFormat="false" ht="15.75" hidden="false" customHeight="false" outlineLevel="0" collapsed="false">
      <c r="G336" s="4"/>
      <c r="H336" s="4"/>
    </row>
    <row r="337" customFormat="false" ht="15.75" hidden="false" customHeight="false" outlineLevel="0" collapsed="false">
      <c r="G337" s="4"/>
      <c r="H337" s="4"/>
    </row>
    <row r="338" customFormat="false" ht="15.75" hidden="false" customHeight="false" outlineLevel="0" collapsed="false">
      <c r="G338" s="4"/>
      <c r="H338" s="4"/>
    </row>
    <row r="339" customFormat="false" ht="15.75" hidden="false" customHeight="false" outlineLevel="0" collapsed="false">
      <c r="G339" s="4"/>
      <c r="H339" s="4"/>
    </row>
    <row r="340" customFormat="false" ht="15.75" hidden="false" customHeight="false" outlineLevel="0" collapsed="false">
      <c r="G340" s="4"/>
      <c r="H340" s="4"/>
    </row>
    <row r="341" customFormat="false" ht="15.75" hidden="false" customHeight="false" outlineLevel="0" collapsed="false">
      <c r="G341" s="4"/>
      <c r="H341" s="4"/>
    </row>
    <row r="342" customFormat="false" ht="15.75" hidden="false" customHeight="false" outlineLevel="0" collapsed="false">
      <c r="G342" s="4"/>
      <c r="H342" s="4"/>
    </row>
    <row r="343" customFormat="false" ht="15.75" hidden="false" customHeight="false" outlineLevel="0" collapsed="false">
      <c r="G343" s="4"/>
      <c r="H343" s="4"/>
    </row>
    <row r="344" customFormat="false" ht="15.75" hidden="false" customHeight="false" outlineLevel="0" collapsed="false">
      <c r="G344" s="4"/>
      <c r="H344" s="4"/>
    </row>
    <row r="345" customFormat="false" ht="15.75" hidden="false" customHeight="false" outlineLevel="0" collapsed="false">
      <c r="G345" s="4"/>
      <c r="H345" s="4"/>
    </row>
    <row r="346" customFormat="false" ht="15.75" hidden="false" customHeight="false" outlineLevel="0" collapsed="false">
      <c r="G346" s="4"/>
      <c r="H346" s="4"/>
    </row>
    <row r="347" customFormat="false" ht="15.75" hidden="false" customHeight="false" outlineLevel="0" collapsed="false">
      <c r="G347" s="4"/>
      <c r="H347" s="4"/>
    </row>
    <row r="348" customFormat="false" ht="15.75" hidden="false" customHeight="false" outlineLevel="0" collapsed="false">
      <c r="G348" s="4"/>
      <c r="H348" s="4"/>
    </row>
    <row r="349" customFormat="false" ht="15.75" hidden="false" customHeight="false" outlineLevel="0" collapsed="false">
      <c r="G349" s="4"/>
      <c r="H349" s="4"/>
    </row>
    <row r="350" customFormat="false" ht="15.75" hidden="false" customHeight="false" outlineLevel="0" collapsed="false">
      <c r="G350" s="4"/>
      <c r="H350" s="4"/>
    </row>
    <row r="351" customFormat="false" ht="15.75" hidden="false" customHeight="false" outlineLevel="0" collapsed="false">
      <c r="G351" s="4"/>
      <c r="H351" s="4"/>
    </row>
    <row r="352" customFormat="false" ht="15.75" hidden="false" customHeight="false" outlineLevel="0" collapsed="false">
      <c r="G352" s="4"/>
      <c r="H352" s="4"/>
    </row>
    <row r="353" customFormat="false" ht="15.75" hidden="false" customHeight="false" outlineLevel="0" collapsed="false">
      <c r="G353" s="4"/>
      <c r="H353" s="4"/>
    </row>
    <row r="354" customFormat="false" ht="15.75" hidden="false" customHeight="false" outlineLevel="0" collapsed="false">
      <c r="G354" s="4"/>
      <c r="H354" s="4"/>
    </row>
    <row r="355" customFormat="false" ht="15.75" hidden="false" customHeight="false" outlineLevel="0" collapsed="false">
      <c r="G355" s="4"/>
      <c r="H355" s="4"/>
    </row>
    <row r="356" customFormat="false" ht="15.75" hidden="false" customHeight="false" outlineLevel="0" collapsed="false">
      <c r="G356" s="4"/>
      <c r="H356" s="4"/>
    </row>
    <row r="357" customFormat="false" ht="15.75" hidden="false" customHeight="false" outlineLevel="0" collapsed="false">
      <c r="G357" s="4"/>
      <c r="H357" s="4"/>
    </row>
    <row r="358" customFormat="false" ht="15.75" hidden="false" customHeight="false" outlineLevel="0" collapsed="false">
      <c r="G358" s="4"/>
      <c r="H358" s="4"/>
    </row>
    <row r="359" customFormat="false" ht="15.75" hidden="false" customHeight="false" outlineLevel="0" collapsed="false">
      <c r="G359" s="4"/>
      <c r="H359" s="4"/>
    </row>
    <row r="360" customFormat="false" ht="15.75" hidden="false" customHeight="false" outlineLevel="0" collapsed="false">
      <c r="G360" s="4"/>
      <c r="H360" s="4"/>
    </row>
    <row r="361" customFormat="false" ht="15.75" hidden="false" customHeight="false" outlineLevel="0" collapsed="false">
      <c r="G361" s="4"/>
      <c r="H361" s="4"/>
    </row>
    <row r="362" customFormat="false" ht="15.75" hidden="false" customHeight="false" outlineLevel="0" collapsed="false">
      <c r="G362" s="4"/>
      <c r="H362" s="4"/>
    </row>
    <row r="363" customFormat="false" ht="15.75" hidden="false" customHeight="false" outlineLevel="0" collapsed="false">
      <c r="G363" s="4"/>
      <c r="H363" s="4"/>
    </row>
    <row r="364" customFormat="false" ht="15.75" hidden="false" customHeight="false" outlineLevel="0" collapsed="false">
      <c r="G364" s="4"/>
      <c r="H364" s="4"/>
    </row>
    <row r="365" customFormat="false" ht="15.75" hidden="false" customHeight="false" outlineLevel="0" collapsed="false">
      <c r="G365" s="4"/>
      <c r="H365" s="4"/>
    </row>
    <row r="366" customFormat="false" ht="15.75" hidden="false" customHeight="false" outlineLevel="0" collapsed="false">
      <c r="G366" s="4"/>
      <c r="H366" s="4"/>
    </row>
    <row r="367" customFormat="false" ht="15.75" hidden="false" customHeight="false" outlineLevel="0" collapsed="false">
      <c r="G367" s="4"/>
      <c r="H367" s="4"/>
    </row>
    <row r="368" customFormat="false" ht="15.75" hidden="false" customHeight="false" outlineLevel="0" collapsed="false">
      <c r="G368" s="4"/>
      <c r="H368" s="4"/>
    </row>
    <row r="369" customFormat="false" ht="15.75" hidden="false" customHeight="false" outlineLevel="0" collapsed="false">
      <c r="G369" s="4"/>
      <c r="H369" s="4"/>
    </row>
    <row r="370" customFormat="false" ht="15.75" hidden="false" customHeight="false" outlineLevel="0" collapsed="false">
      <c r="G370" s="4"/>
      <c r="H370" s="4"/>
    </row>
    <row r="371" customFormat="false" ht="15.75" hidden="false" customHeight="false" outlineLevel="0" collapsed="false">
      <c r="G371" s="4"/>
      <c r="H371" s="4"/>
    </row>
    <row r="372" customFormat="false" ht="15.75" hidden="false" customHeight="false" outlineLevel="0" collapsed="false">
      <c r="G372" s="4"/>
      <c r="H372" s="4"/>
    </row>
    <row r="373" customFormat="false" ht="15.75" hidden="false" customHeight="false" outlineLevel="0" collapsed="false">
      <c r="G373" s="4"/>
      <c r="H373" s="4"/>
    </row>
    <row r="374" customFormat="false" ht="15.75" hidden="false" customHeight="false" outlineLevel="0" collapsed="false">
      <c r="G374" s="4"/>
      <c r="H374" s="4"/>
    </row>
    <row r="375" customFormat="false" ht="15.75" hidden="false" customHeight="false" outlineLevel="0" collapsed="false">
      <c r="G375" s="4"/>
      <c r="H375" s="4"/>
    </row>
    <row r="376" customFormat="false" ht="15.75" hidden="false" customHeight="false" outlineLevel="0" collapsed="false">
      <c r="G376" s="4"/>
      <c r="H376" s="4"/>
    </row>
    <row r="377" customFormat="false" ht="15.75" hidden="false" customHeight="false" outlineLevel="0" collapsed="false">
      <c r="G377" s="4"/>
      <c r="H377" s="4"/>
    </row>
    <row r="378" customFormat="false" ht="15.75" hidden="false" customHeight="false" outlineLevel="0" collapsed="false">
      <c r="G378" s="4"/>
      <c r="H378" s="4"/>
    </row>
    <row r="379" customFormat="false" ht="15.75" hidden="false" customHeight="false" outlineLevel="0" collapsed="false">
      <c r="G379" s="4"/>
      <c r="H379" s="4"/>
    </row>
    <row r="380" customFormat="false" ht="15.75" hidden="false" customHeight="false" outlineLevel="0" collapsed="false">
      <c r="G380" s="4"/>
      <c r="H380" s="4"/>
    </row>
    <row r="381" customFormat="false" ht="15.75" hidden="false" customHeight="false" outlineLevel="0" collapsed="false">
      <c r="G381" s="4"/>
      <c r="H381" s="4"/>
    </row>
    <row r="382" customFormat="false" ht="15.75" hidden="false" customHeight="false" outlineLevel="0" collapsed="false">
      <c r="G382" s="4"/>
      <c r="H382" s="4"/>
    </row>
    <row r="383" customFormat="false" ht="15.75" hidden="false" customHeight="false" outlineLevel="0" collapsed="false">
      <c r="G383" s="4"/>
      <c r="H383" s="4"/>
    </row>
    <row r="384" customFormat="false" ht="15.75" hidden="false" customHeight="false" outlineLevel="0" collapsed="false">
      <c r="G384" s="4"/>
      <c r="H384" s="4"/>
    </row>
    <row r="385" customFormat="false" ht="15.75" hidden="false" customHeight="false" outlineLevel="0" collapsed="false">
      <c r="G385" s="4"/>
      <c r="H385" s="4"/>
    </row>
    <row r="386" customFormat="false" ht="15.75" hidden="false" customHeight="false" outlineLevel="0" collapsed="false">
      <c r="G386" s="4"/>
      <c r="H386" s="4"/>
    </row>
    <row r="387" customFormat="false" ht="15.75" hidden="false" customHeight="false" outlineLevel="0" collapsed="false">
      <c r="G387" s="4"/>
      <c r="H387" s="4"/>
    </row>
    <row r="388" customFormat="false" ht="15.75" hidden="false" customHeight="false" outlineLevel="0" collapsed="false">
      <c r="G388" s="4"/>
      <c r="H388" s="4"/>
    </row>
    <row r="389" customFormat="false" ht="15.75" hidden="false" customHeight="false" outlineLevel="0" collapsed="false">
      <c r="G389" s="4"/>
      <c r="H389" s="4"/>
    </row>
    <row r="390" customFormat="false" ht="15.75" hidden="false" customHeight="false" outlineLevel="0" collapsed="false">
      <c r="G390" s="4"/>
      <c r="H390" s="4"/>
    </row>
    <row r="391" customFormat="false" ht="15.75" hidden="false" customHeight="false" outlineLevel="0" collapsed="false">
      <c r="G391" s="4"/>
      <c r="H391" s="4"/>
    </row>
    <row r="392" customFormat="false" ht="15.75" hidden="false" customHeight="false" outlineLevel="0" collapsed="false">
      <c r="G392" s="4"/>
      <c r="H392" s="4"/>
    </row>
    <row r="393" customFormat="false" ht="15.75" hidden="false" customHeight="false" outlineLevel="0" collapsed="false">
      <c r="G393" s="4"/>
      <c r="H393" s="4"/>
    </row>
    <row r="394" customFormat="false" ht="15.75" hidden="false" customHeight="false" outlineLevel="0" collapsed="false">
      <c r="G394" s="4"/>
      <c r="H394" s="4"/>
    </row>
    <row r="395" customFormat="false" ht="15.75" hidden="false" customHeight="false" outlineLevel="0" collapsed="false">
      <c r="G395" s="4"/>
      <c r="H395" s="4"/>
    </row>
    <row r="396" customFormat="false" ht="15.75" hidden="false" customHeight="false" outlineLevel="0" collapsed="false">
      <c r="G396" s="4"/>
      <c r="H396" s="4"/>
    </row>
    <row r="397" customFormat="false" ht="15.75" hidden="false" customHeight="false" outlineLevel="0" collapsed="false">
      <c r="G397" s="4"/>
      <c r="H397" s="4"/>
    </row>
    <row r="398" customFormat="false" ht="15.75" hidden="false" customHeight="false" outlineLevel="0" collapsed="false">
      <c r="G398" s="4"/>
      <c r="H398" s="4"/>
    </row>
    <row r="399" customFormat="false" ht="15.75" hidden="false" customHeight="false" outlineLevel="0" collapsed="false">
      <c r="G399" s="4"/>
      <c r="H399" s="4"/>
    </row>
    <row r="400" customFormat="false" ht="15.75" hidden="false" customHeight="false" outlineLevel="0" collapsed="false">
      <c r="G400" s="4"/>
      <c r="H400" s="4"/>
    </row>
    <row r="401" customFormat="false" ht="15.75" hidden="false" customHeight="false" outlineLevel="0" collapsed="false">
      <c r="G401" s="4"/>
      <c r="H401" s="4"/>
    </row>
    <row r="402" customFormat="false" ht="15.75" hidden="false" customHeight="false" outlineLevel="0" collapsed="false">
      <c r="G402" s="4"/>
      <c r="H402" s="4"/>
    </row>
    <row r="403" customFormat="false" ht="15.75" hidden="false" customHeight="false" outlineLevel="0" collapsed="false">
      <c r="G403" s="4"/>
      <c r="H403" s="4"/>
    </row>
    <row r="404" customFormat="false" ht="15.75" hidden="false" customHeight="false" outlineLevel="0" collapsed="false">
      <c r="G404" s="4"/>
      <c r="H404" s="4"/>
    </row>
    <row r="405" customFormat="false" ht="15.75" hidden="false" customHeight="false" outlineLevel="0" collapsed="false">
      <c r="G405" s="4"/>
      <c r="H405" s="4"/>
    </row>
    <row r="406" customFormat="false" ht="15.75" hidden="false" customHeight="false" outlineLevel="0" collapsed="false">
      <c r="G406" s="4"/>
      <c r="H406" s="4"/>
    </row>
    <row r="407" customFormat="false" ht="15.75" hidden="false" customHeight="false" outlineLevel="0" collapsed="false">
      <c r="G407" s="4"/>
      <c r="H407" s="4"/>
    </row>
    <row r="408" customFormat="false" ht="15.75" hidden="false" customHeight="false" outlineLevel="0" collapsed="false">
      <c r="G408" s="4"/>
      <c r="H408" s="4"/>
    </row>
    <row r="409" customFormat="false" ht="15.75" hidden="false" customHeight="false" outlineLevel="0" collapsed="false">
      <c r="G409" s="4"/>
      <c r="H409" s="4"/>
    </row>
    <row r="410" customFormat="false" ht="15.75" hidden="false" customHeight="false" outlineLevel="0" collapsed="false">
      <c r="G410" s="4"/>
      <c r="H410" s="4"/>
    </row>
    <row r="411" customFormat="false" ht="15.75" hidden="false" customHeight="false" outlineLevel="0" collapsed="false">
      <c r="G411" s="4"/>
      <c r="H411" s="4"/>
    </row>
    <row r="412" customFormat="false" ht="15.75" hidden="false" customHeight="false" outlineLevel="0" collapsed="false">
      <c r="G412" s="4"/>
      <c r="H412" s="4"/>
    </row>
    <row r="413" customFormat="false" ht="15.75" hidden="false" customHeight="false" outlineLevel="0" collapsed="false">
      <c r="G413" s="4"/>
      <c r="H413" s="4"/>
    </row>
    <row r="414" customFormat="false" ht="15.75" hidden="false" customHeight="false" outlineLevel="0" collapsed="false">
      <c r="G414" s="4"/>
      <c r="H414" s="4"/>
    </row>
    <row r="415" customFormat="false" ht="15.75" hidden="false" customHeight="false" outlineLevel="0" collapsed="false">
      <c r="G415" s="4"/>
      <c r="H415" s="4"/>
    </row>
    <row r="416" customFormat="false" ht="15.75" hidden="false" customHeight="false" outlineLevel="0" collapsed="false">
      <c r="G416" s="4"/>
      <c r="H416" s="4"/>
    </row>
    <row r="417" customFormat="false" ht="15.75" hidden="false" customHeight="false" outlineLevel="0" collapsed="false">
      <c r="G417" s="4"/>
      <c r="H417" s="4"/>
    </row>
    <row r="418" customFormat="false" ht="15.75" hidden="false" customHeight="false" outlineLevel="0" collapsed="false">
      <c r="G418" s="4"/>
      <c r="H418" s="4"/>
    </row>
    <row r="419" customFormat="false" ht="15.75" hidden="false" customHeight="false" outlineLevel="0" collapsed="false">
      <c r="G419" s="4"/>
      <c r="H419" s="4"/>
    </row>
    <row r="420" customFormat="false" ht="15.75" hidden="false" customHeight="false" outlineLevel="0" collapsed="false">
      <c r="G420" s="4"/>
      <c r="H420" s="4"/>
    </row>
    <row r="421" customFormat="false" ht="15.75" hidden="false" customHeight="false" outlineLevel="0" collapsed="false">
      <c r="G421" s="4"/>
      <c r="H421" s="4"/>
    </row>
    <row r="422" customFormat="false" ht="15.75" hidden="false" customHeight="false" outlineLevel="0" collapsed="false">
      <c r="G422" s="4"/>
      <c r="H422" s="4"/>
    </row>
    <row r="423" customFormat="false" ht="15.75" hidden="false" customHeight="false" outlineLevel="0" collapsed="false">
      <c r="G423" s="4"/>
      <c r="H423" s="4"/>
    </row>
    <row r="424" customFormat="false" ht="15.75" hidden="false" customHeight="false" outlineLevel="0" collapsed="false">
      <c r="G424" s="4"/>
      <c r="H424" s="4"/>
    </row>
    <row r="425" customFormat="false" ht="15.75" hidden="false" customHeight="false" outlineLevel="0" collapsed="false">
      <c r="G425" s="4"/>
      <c r="H425" s="4"/>
    </row>
    <row r="426" customFormat="false" ht="15.75" hidden="false" customHeight="false" outlineLevel="0" collapsed="false">
      <c r="G426" s="4"/>
      <c r="H426" s="4"/>
    </row>
    <row r="427" customFormat="false" ht="15.75" hidden="false" customHeight="false" outlineLevel="0" collapsed="false">
      <c r="G427" s="4"/>
      <c r="H427" s="4"/>
    </row>
    <row r="428" customFormat="false" ht="15.75" hidden="false" customHeight="false" outlineLevel="0" collapsed="false">
      <c r="G428" s="4"/>
      <c r="H428" s="4"/>
    </row>
    <row r="429" customFormat="false" ht="15.75" hidden="false" customHeight="false" outlineLevel="0" collapsed="false">
      <c r="G429" s="4"/>
      <c r="H429" s="4"/>
    </row>
    <row r="430" customFormat="false" ht="15.75" hidden="false" customHeight="false" outlineLevel="0" collapsed="false">
      <c r="G430" s="4"/>
      <c r="H430" s="4"/>
    </row>
    <row r="431" customFormat="false" ht="15.75" hidden="false" customHeight="false" outlineLevel="0" collapsed="false">
      <c r="G431" s="4"/>
      <c r="H431" s="4"/>
    </row>
    <row r="432" customFormat="false" ht="15.75" hidden="false" customHeight="false" outlineLevel="0" collapsed="false">
      <c r="G432" s="4"/>
      <c r="H432" s="4"/>
    </row>
    <row r="433" customFormat="false" ht="15.75" hidden="false" customHeight="false" outlineLevel="0" collapsed="false">
      <c r="G433" s="4"/>
      <c r="H433" s="4"/>
    </row>
    <row r="434" customFormat="false" ht="15.75" hidden="false" customHeight="false" outlineLevel="0" collapsed="false">
      <c r="G434" s="4"/>
      <c r="H434" s="4"/>
    </row>
    <row r="435" customFormat="false" ht="15.75" hidden="false" customHeight="false" outlineLevel="0" collapsed="false">
      <c r="G435" s="4"/>
      <c r="H435" s="4"/>
    </row>
    <row r="436" customFormat="false" ht="15.75" hidden="false" customHeight="false" outlineLevel="0" collapsed="false">
      <c r="G436" s="4"/>
      <c r="H436" s="4"/>
    </row>
    <row r="437" customFormat="false" ht="15.75" hidden="false" customHeight="false" outlineLevel="0" collapsed="false">
      <c r="G437" s="4"/>
      <c r="H437" s="4"/>
    </row>
    <row r="438" customFormat="false" ht="15.75" hidden="false" customHeight="false" outlineLevel="0" collapsed="false">
      <c r="G438" s="4"/>
      <c r="H438" s="4"/>
    </row>
    <row r="439" customFormat="false" ht="15.75" hidden="false" customHeight="false" outlineLevel="0" collapsed="false">
      <c r="G439" s="4"/>
      <c r="H439" s="4"/>
    </row>
    <row r="440" customFormat="false" ht="15.75" hidden="false" customHeight="false" outlineLevel="0" collapsed="false">
      <c r="G440" s="4"/>
      <c r="H440" s="4"/>
    </row>
    <row r="441" customFormat="false" ht="15.75" hidden="false" customHeight="false" outlineLevel="0" collapsed="false">
      <c r="G441" s="4"/>
      <c r="H441" s="4"/>
    </row>
    <row r="442" customFormat="false" ht="15.75" hidden="false" customHeight="false" outlineLevel="0" collapsed="false">
      <c r="G442" s="4"/>
      <c r="H442" s="4"/>
    </row>
    <row r="443" customFormat="false" ht="15.75" hidden="false" customHeight="false" outlineLevel="0" collapsed="false">
      <c r="G443" s="4"/>
      <c r="H443" s="4"/>
    </row>
    <row r="444" customFormat="false" ht="15.75" hidden="false" customHeight="false" outlineLevel="0" collapsed="false">
      <c r="G444" s="4"/>
      <c r="H444" s="4"/>
    </row>
    <row r="445" customFormat="false" ht="15.75" hidden="false" customHeight="false" outlineLevel="0" collapsed="false">
      <c r="G445" s="4"/>
      <c r="H445" s="4"/>
    </row>
    <row r="446" customFormat="false" ht="15.75" hidden="false" customHeight="false" outlineLevel="0" collapsed="false">
      <c r="G446" s="4"/>
      <c r="H446" s="4"/>
    </row>
    <row r="447" customFormat="false" ht="15.75" hidden="false" customHeight="false" outlineLevel="0" collapsed="false">
      <c r="G447" s="4"/>
      <c r="H447" s="4"/>
    </row>
    <row r="448" customFormat="false" ht="15.75" hidden="false" customHeight="false" outlineLevel="0" collapsed="false">
      <c r="G448" s="4"/>
      <c r="H448" s="4"/>
    </row>
    <row r="449" customFormat="false" ht="15.75" hidden="false" customHeight="false" outlineLevel="0" collapsed="false">
      <c r="G449" s="4"/>
      <c r="H449" s="4"/>
    </row>
    <row r="450" customFormat="false" ht="15.75" hidden="false" customHeight="false" outlineLevel="0" collapsed="false">
      <c r="G450" s="4"/>
      <c r="H450" s="4"/>
    </row>
    <row r="451" customFormat="false" ht="15.75" hidden="false" customHeight="false" outlineLevel="0" collapsed="false">
      <c r="G451" s="4"/>
      <c r="H451" s="4"/>
    </row>
    <row r="452" customFormat="false" ht="15.75" hidden="false" customHeight="false" outlineLevel="0" collapsed="false">
      <c r="G452" s="4"/>
      <c r="H452" s="4"/>
    </row>
    <row r="453" customFormat="false" ht="15.75" hidden="false" customHeight="false" outlineLevel="0" collapsed="false">
      <c r="G453" s="4"/>
      <c r="H453" s="4"/>
    </row>
    <row r="454" customFormat="false" ht="15.75" hidden="false" customHeight="false" outlineLevel="0" collapsed="false">
      <c r="G454" s="4"/>
      <c r="H454" s="4"/>
    </row>
    <row r="455" customFormat="false" ht="15.75" hidden="false" customHeight="false" outlineLevel="0" collapsed="false">
      <c r="G455" s="4"/>
      <c r="H455" s="4"/>
    </row>
    <row r="456" customFormat="false" ht="15.75" hidden="false" customHeight="false" outlineLevel="0" collapsed="false">
      <c r="G456" s="4"/>
      <c r="H456" s="4"/>
    </row>
    <row r="457" customFormat="false" ht="15.75" hidden="false" customHeight="false" outlineLevel="0" collapsed="false">
      <c r="G457" s="4"/>
      <c r="H457" s="4"/>
    </row>
    <row r="458" customFormat="false" ht="15.75" hidden="false" customHeight="false" outlineLevel="0" collapsed="false">
      <c r="G458" s="4"/>
      <c r="H458" s="4"/>
    </row>
    <row r="459" customFormat="false" ht="15.75" hidden="false" customHeight="false" outlineLevel="0" collapsed="false">
      <c r="G459" s="4"/>
      <c r="H459" s="4"/>
    </row>
    <row r="460" customFormat="false" ht="15.75" hidden="false" customHeight="false" outlineLevel="0" collapsed="false">
      <c r="G460" s="4"/>
      <c r="H460" s="4"/>
    </row>
    <row r="461" customFormat="false" ht="15.75" hidden="false" customHeight="false" outlineLevel="0" collapsed="false">
      <c r="G461" s="4"/>
      <c r="H461" s="4"/>
    </row>
    <row r="462" customFormat="false" ht="15.75" hidden="false" customHeight="false" outlineLevel="0" collapsed="false">
      <c r="G462" s="4"/>
      <c r="H462" s="4"/>
    </row>
    <row r="463" customFormat="false" ht="15.75" hidden="false" customHeight="false" outlineLevel="0" collapsed="false">
      <c r="G463" s="4"/>
      <c r="H463" s="4"/>
    </row>
    <row r="464" customFormat="false" ht="15.75" hidden="false" customHeight="false" outlineLevel="0" collapsed="false">
      <c r="G464" s="4"/>
      <c r="H464" s="4"/>
    </row>
    <row r="465" customFormat="false" ht="15.75" hidden="false" customHeight="false" outlineLevel="0" collapsed="false">
      <c r="G465" s="4"/>
      <c r="H465" s="4"/>
    </row>
    <row r="466" customFormat="false" ht="15.75" hidden="false" customHeight="false" outlineLevel="0" collapsed="false">
      <c r="G466" s="4"/>
      <c r="H466" s="4"/>
    </row>
    <row r="467" customFormat="false" ht="15.75" hidden="false" customHeight="false" outlineLevel="0" collapsed="false">
      <c r="G467" s="4"/>
      <c r="H467" s="4"/>
    </row>
    <row r="468" customFormat="false" ht="15.75" hidden="false" customHeight="false" outlineLevel="0" collapsed="false">
      <c r="G468" s="4"/>
      <c r="H468" s="4"/>
    </row>
    <row r="469" customFormat="false" ht="15.75" hidden="false" customHeight="false" outlineLevel="0" collapsed="false">
      <c r="G469" s="4"/>
      <c r="H469" s="4"/>
    </row>
    <row r="470" customFormat="false" ht="15.75" hidden="false" customHeight="false" outlineLevel="0" collapsed="false">
      <c r="G470" s="4"/>
      <c r="H470" s="4"/>
    </row>
    <row r="471" customFormat="false" ht="15.75" hidden="false" customHeight="false" outlineLevel="0" collapsed="false">
      <c r="G471" s="4"/>
      <c r="H471" s="4"/>
    </row>
    <row r="472" customFormat="false" ht="15.75" hidden="false" customHeight="false" outlineLevel="0" collapsed="false">
      <c r="G472" s="4"/>
      <c r="H472" s="4"/>
    </row>
    <row r="473" customFormat="false" ht="15.75" hidden="false" customHeight="false" outlineLevel="0" collapsed="false">
      <c r="G473" s="4"/>
      <c r="H473" s="4"/>
    </row>
    <row r="474" customFormat="false" ht="15.75" hidden="false" customHeight="false" outlineLevel="0" collapsed="false">
      <c r="G474" s="4"/>
      <c r="H474" s="4"/>
    </row>
    <row r="475" customFormat="false" ht="15.75" hidden="false" customHeight="false" outlineLevel="0" collapsed="false">
      <c r="G475" s="4"/>
      <c r="H475" s="4"/>
    </row>
    <row r="476" customFormat="false" ht="15.75" hidden="false" customHeight="false" outlineLevel="0" collapsed="false">
      <c r="G476" s="4"/>
      <c r="H476" s="4"/>
    </row>
    <row r="477" customFormat="false" ht="15.75" hidden="false" customHeight="false" outlineLevel="0" collapsed="false">
      <c r="G477" s="4"/>
      <c r="H477" s="4"/>
    </row>
    <row r="478" customFormat="false" ht="15.75" hidden="false" customHeight="false" outlineLevel="0" collapsed="false">
      <c r="G478" s="4"/>
      <c r="H478" s="4"/>
    </row>
    <row r="479" customFormat="false" ht="15.75" hidden="false" customHeight="false" outlineLevel="0" collapsed="false">
      <c r="G479" s="4"/>
      <c r="H479" s="4"/>
    </row>
    <row r="480" customFormat="false" ht="15.75" hidden="false" customHeight="false" outlineLevel="0" collapsed="false">
      <c r="G480" s="4"/>
      <c r="H480" s="4"/>
    </row>
    <row r="481" customFormat="false" ht="15.75" hidden="false" customHeight="false" outlineLevel="0" collapsed="false">
      <c r="G481" s="4"/>
      <c r="H481" s="4"/>
    </row>
    <row r="482" customFormat="false" ht="15.75" hidden="false" customHeight="false" outlineLevel="0" collapsed="false">
      <c r="G482" s="4"/>
      <c r="H482" s="4"/>
    </row>
    <row r="483" customFormat="false" ht="15.75" hidden="false" customHeight="false" outlineLevel="0" collapsed="false">
      <c r="G483" s="4"/>
      <c r="H483" s="4"/>
    </row>
    <row r="484" customFormat="false" ht="15.75" hidden="false" customHeight="false" outlineLevel="0" collapsed="false">
      <c r="G484" s="4"/>
      <c r="H484" s="4"/>
    </row>
    <row r="485" customFormat="false" ht="15.75" hidden="false" customHeight="false" outlineLevel="0" collapsed="false">
      <c r="G485" s="4"/>
      <c r="H485" s="4"/>
    </row>
    <row r="486" customFormat="false" ht="15.75" hidden="false" customHeight="false" outlineLevel="0" collapsed="false">
      <c r="G486" s="4"/>
      <c r="H486" s="4"/>
    </row>
    <row r="487" customFormat="false" ht="15.75" hidden="false" customHeight="false" outlineLevel="0" collapsed="false">
      <c r="G487" s="4"/>
      <c r="H487" s="4"/>
    </row>
    <row r="488" customFormat="false" ht="15.75" hidden="false" customHeight="false" outlineLevel="0" collapsed="false">
      <c r="G488" s="4"/>
      <c r="H488" s="4"/>
    </row>
    <row r="489" customFormat="false" ht="15.75" hidden="false" customHeight="false" outlineLevel="0" collapsed="false">
      <c r="G489" s="4"/>
      <c r="H489" s="4"/>
    </row>
    <row r="490" customFormat="false" ht="15.75" hidden="false" customHeight="false" outlineLevel="0" collapsed="false">
      <c r="G490" s="4"/>
      <c r="H490" s="4"/>
    </row>
    <row r="491" customFormat="false" ht="15.75" hidden="false" customHeight="false" outlineLevel="0" collapsed="false">
      <c r="G491" s="4"/>
      <c r="H491" s="4"/>
    </row>
    <row r="492" customFormat="false" ht="15.75" hidden="false" customHeight="false" outlineLevel="0" collapsed="false">
      <c r="G492" s="4"/>
      <c r="H492" s="4"/>
    </row>
    <row r="493" customFormat="false" ht="15.75" hidden="false" customHeight="false" outlineLevel="0" collapsed="false">
      <c r="G493" s="4"/>
      <c r="H493" s="4"/>
    </row>
    <row r="494" customFormat="false" ht="15.75" hidden="false" customHeight="false" outlineLevel="0" collapsed="false">
      <c r="G494" s="4"/>
      <c r="H494" s="4"/>
    </row>
    <row r="495" customFormat="false" ht="15.75" hidden="false" customHeight="false" outlineLevel="0" collapsed="false">
      <c r="G495" s="4"/>
      <c r="H495" s="4"/>
    </row>
    <row r="496" customFormat="false" ht="15.75" hidden="false" customHeight="false" outlineLevel="0" collapsed="false">
      <c r="G496" s="4"/>
      <c r="H496" s="4"/>
    </row>
    <row r="497" customFormat="false" ht="15.75" hidden="false" customHeight="false" outlineLevel="0" collapsed="false">
      <c r="G497" s="4"/>
      <c r="H497" s="4"/>
    </row>
    <row r="498" customFormat="false" ht="15.75" hidden="false" customHeight="false" outlineLevel="0" collapsed="false">
      <c r="G498" s="4"/>
      <c r="H498" s="4"/>
    </row>
    <row r="499" customFormat="false" ht="15.75" hidden="false" customHeight="false" outlineLevel="0" collapsed="false">
      <c r="G499" s="4"/>
      <c r="H499" s="4"/>
    </row>
    <row r="500" customFormat="false" ht="15.75" hidden="false" customHeight="false" outlineLevel="0" collapsed="false">
      <c r="G500" s="4"/>
      <c r="H500" s="4"/>
    </row>
    <row r="501" customFormat="false" ht="15.75" hidden="false" customHeight="false" outlineLevel="0" collapsed="false">
      <c r="G501" s="4"/>
      <c r="H501" s="4"/>
    </row>
    <row r="502" customFormat="false" ht="15.75" hidden="false" customHeight="false" outlineLevel="0" collapsed="false">
      <c r="G502" s="4"/>
      <c r="H502" s="4"/>
    </row>
    <row r="503" customFormat="false" ht="15.75" hidden="false" customHeight="false" outlineLevel="0" collapsed="false">
      <c r="G503" s="4"/>
      <c r="H503" s="4"/>
    </row>
    <row r="504" customFormat="false" ht="15.75" hidden="false" customHeight="false" outlineLevel="0" collapsed="false">
      <c r="G504" s="4"/>
      <c r="H504" s="4"/>
    </row>
    <row r="505" customFormat="false" ht="15.75" hidden="false" customHeight="false" outlineLevel="0" collapsed="false">
      <c r="G505" s="4"/>
      <c r="H505" s="4"/>
    </row>
    <row r="506" customFormat="false" ht="15.75" hidden="false" customHeight="false" outlineLevel="0" collapsed="false">
      <c r="G506" s="4"/>
      <c r="H506" s="4"/>
    </row>
    <row r="507" customFormat="false" ht="15.75" hidden="false" customHeight="false" outlineLevel="0" collapsed="false">
      <c r="G507" s="4"/>
      <c r="H507" s="4"/>
    </row>
    <row r="508" customFormat="false" ht="15.75" hidden="false" customHeight="false" outlineLevel="0" collapsed="false">
      <c r="G508" s="4"/>
      <c r="H508" s="4"/>
    </row>
    <row r="509" customFormat="false" ht="15.75" hidden="false" customHeight="false" outlineLevel="0" collapsed="false">
      <c r="G509" s="4"/>
      <c r="H509" s="4"/>
    </row>
    <row r="510" customFormat="false" ht="15.75" hidden="false" customHeight="false" outlineLevel="0" collapsed="false">
      <c r="G510" s="4"/>
      <c r="H510" s="4"/>
    </row>
    <row r="511" customFormat="false" ht="15.75" hidden="false" customHeight="false" outlineLevel="0" collapsed="false">
      <c r="G511" s="4"/>
      <c r="H511" s="4"/>
    </row>
    <row r="512" customFormat="false" ht="15.75" hidden="false" customHeight="false" outlineLevel="0" collapsed="false">
      <c r="G512" s="4"/>
      <c r="H512" s="4"/>
    </row>
    <row r="513" customFormat="false" ht="15.75" hidden="false" customHeight="false" outlineLevel="0" collapsed="false">
      <c r="G513" s="4"/>
      <c r="H513" s="4"/>
    </row>
    <row r="514" customFormat="false" ht="15.75" hidden="false" customHeight="false" outlineLevel="0" collapsed="false">
      <c r="G514" s="4"/>
      <c r="H514" s="4"/>
    </row>
    <row r="515" customFormat="false" ht="15.75" hidden="false" customHeight="false" outlineLevel="0" collapsed="false">
      <c r="G515" s="4"/>
      <c r="H515" s="4"/>
    </row>
    <row r="516" customFormat="false" ht="15.75" hidden="false" customHeight="false" outlineLevel="0" collapsed="false">
      <c r="G516" s="4"/>
      <c r="H516" s="4"/>
    </row>
    <row r="517" customFormat="false" ht="15.75" hidden="false" customHeight="false" outlineLevel="0" collapsed="false">
      <c r="G517" s="4"/>
      <c r="H517" s="4"/>
    </row>
    <row r="518" customFormat="false" ht="15.75" hidden="false" customHeight="false" outlineLevel="0" collapsed="false">
      <c r="G518" s="4"/>
      <c r="H518" s="4"/>
    </row>
    <row r="519" customFormat="false" ht="15.75" hidden="false" customHeight="false" outlineLevel="0" collapsed="false">
      <c r="G519" s="4"/>
      <c r="H519" s="4"/>
    </row>
    <row r="520" customFormat="false" ht="15.75" hidden="false" customHeight="false" outlineLevel="0" collapsed="false">
      <c r="G520" s="4"/>
      <c r="H520" s="4"/>
    </row>
    <row r="521" customFormat="false" ht="15.75" hidden="false" customHeight="false" outlineLevel="0" collapsed="false">
      <c r="G521" s="4"/>
      <c r="H521" s="4"/>
    </row>
    <row r="522" customFormat="false" ht="15.75" hidden="false" customHeight="false" outlineLevel="0" collapsed="false">
      <c r="G522" s="4"/>
      <c r="H522" s="4"/>
    </row>
    <row r="523" customFormat="false" ht="15.75" hidden="false" customHeight="false" outlineLevel="0" collapsed="false">
      <c r="G523" s="4"/>
      <c r="H523" s="4"/>
    </row>
    <row r="524" customFormat="false" ht="15.75" hidden="false" customHeight="false" outlineLevel="0" collapsed="false">
      <c r="G524" s="4"/>
      <c r="H524" s="4"/>
    </row>
    <row r="525" customFormat="false" ht="15.75" hidden="false" customHeight="false" outlineLevel="0" collapsed="false">
      <c r="G525" s="4"/>
      <c r="H525" s="4"/>
    </row>
    <row r="526" customFormat="false" ht="15.75" hidden="false" customHeight="false" outlineLevel="0" collapsed="false">
      <c r="G526" s="4"/>
      <c r="H526" s="4"/>
    </row>
    <row r="527" customFormat="false" ht="15.75" hidden="false" customHeight="false" outlineLevel="0" collapsed="false">
      <c r="G527" s="4"/>
      <c r="H527" s="4"/>
    </row>
    <row r="528" customFormat="false" ht="15.75" hidden="false" customHeight="false" outlineLevel="0" collapsed="false">
      <c r="G528" s="4"/>
      <c r="H528" s="4"/>
    </row>
    <row r="529" customFormat="false" ht="15.75" hidden="false" customHeight="false" outlineLevel="0" collapsed="false">
      <c r="G529" s="4"/>
      <c r="H529" s="4"/>
    </row>
    <row r="530" customFormat="false" ht="15.75" hidden="false" customHeight="false" outlineLevel="0" collapsed="false">
      <c r="G530" s="4"/>
      <c r="H530" s="4"/>
    </row>
    <row r="531" customFormat="false" ht="15.75" hidden="false" customHeight="false" outlineLevel="0" collapsed="false">
      <c r="G531" s="4"/>
      <c r="H531" s="4"/>
    </row>
    <row r="532" customFormat="false" ht="15.75" hidden="false" customHeight="false" outlineLevel="0" collapsed="false">
      <c r="G532" s="4"/>
      <c r="H532" s="4"/>
    </row>
    <row r="533" customFormat="false" ht="15.75" hidden="false" customHeight="false" outlineLevel="0" collapsed="false">
      <c r="G533" s="4"/>
      <c r="H533" s="4"/>
    </row>
    <row r="534" customFormat="false" ht="15.75" hidden="false" customHeight="false" outlineLevel="0" collapsed="false">
      <c r="G534" s="4"/>
      <c r="H534" s="4"/>
    </row>
    <row r="535" customFormat="false" ht="15.75" hidden="false" customHeight="false" outlineLevel="0" collapsed="false">
      <c r="G535" s="4"/>
      <c r="H535" s="4"/>
    </row>
    <row r="536" customFormat="false" ht="15.75" hidden="false" customHeight="false" outlineLevel="0" collapsed="false">
      <c r="G536" s="4"/>
      <c r="H536" s="4"/>
    </row>
    <row r="537" customFormat="false" ht="15.75" hidden="false" customHeight="false" outlineLevel="0" collapsed="false">
      <c r="G537" s="4"/>
      <c r="H537" s="4"/>
    </row>
    <row r="538" customFormat="false" ht="15.75" hidden="false" customHeight="false" outlineLevel="0" collapsed="false">
      <c r="G538" s="4"/>
      <c r="H538" s="4"/>
    </row>
    <row r="539" customFormat="false" ht="15.75" hidden="false" customHeight="false" outlineLevel="0" collapsed="false">
      <c r="G539" s="4"/>
      <c r="H539" s="4"/>
    </row>
    <row r="540" customFormat="false" ht="15.75" hidden="false" customHeight="false" outlineLevel="0" collapsed="false">
      <c r="G540" s="4"/>
      <c r="H540" s="4"/>
    </row>
    <row r="541" customFormat="false" ht="15.75" hidden="false" customHeight="false" outlineLevel="0" collapsed="false">
      <c r="G541" s="4"/>
      <c r="H541" s="4"/>
    </row>
    <row r="542" customFormat="false" ht="15.75" hidden="false" customHeight="false" outlineLevel="0" collapsed="false">
      <c r="G542" s="4"/>
      <c r="H542" s="4"/>
    </row>
    <row r="543" customFormat="false" ht="15.75" hidden="false" customHeight="false" outlineLevel="0" collapsed="false">
      <c r="G543" s="4"/>
      <c r="H543" s="4"/>
    </row>
    <row r="544" customFormat="false" ht="15.75" hidden="false" customHeight="false" outlineLevel="0" collapsed="false">
      <c r="G544" s="4"/>
      <c r="H544" s="4"/>
    </row>
    <row r="545" customFormat="false" ht="15.75" hidden="false" customHeight="false" outlineLevel="0" collapsed="false">
      <c r="G545" s="4"/>
      <c r="H545" s="4"/>
    </row>
    <row r="546" customFormat="false" ht="15.75" hidden="false" customHeight="false" outlineLevel="0" collapsed="false">
      <c r="G546" s="4"/>
      <c r="H546" s="4"/>
    </row>
    <row r="547" customFormat="false" ht="15.75" hidden="false" customHeight="false" outlineLevel="0" collapsed="false">
      <c r="G547" s="4"/>
      <c r="H547" s="4"/>
    </row>
    <row r="548" customFormat="false" ht="15.75" hidden="false" customHeight="false" outlineLevel="0" collapsed="false">
      <c r="G548" s="4"/>
      <c r="H548" s="4"/>
    </row>
    <row r="549" customFormat="false" ht="15.75" hidden="false" customHeight="false" outlineLevel="0" collapsed="false">
      <c r="G549" s="4"/>
      <c r="H549" s="4"/>
    </row>
    <row r="550" customFormat="false" ht="15.75" hidden="false" customHeight="false" outlineLevel="0" collapsed="false">
      <c r="G550" s="4"/>
      <c r="H550" s="4"/>
    </row>
    <row r="551" customFormat="false" ht="15.75" hidden="false" customHeight="false" outlineLevel="0" collapsed="false">
      <c r="G551" s="4"/>
      <c r="H551" s="4"/>
    </row>
    <row r="552" customFormat="false" ht="15.75" hidden="false" customHeight="false" outlineLevel="0" collapsed="false">
      <c r="G552" s="4"/>
      <c r="H552" s="4"/>
    </row>
    <row r="553" customFormat="false" ht="15.75" hidden="false" customHeight="false" outlineLevel="0" collapsed="false">
      <c r="G553" s="4"/>
      <c r="H553" s="4"/>
    </row>
    <row r="554" customFormat="false" ht="15.75" hidden="false" customHeight="false" outlineLevel="0" collapsed="false">
      <c r="G554" s="4"/>
      <c r="H554" s="4"/>
    </row>
    <row r="555" customFormat="false" ht="15.75" hidden="false" customHeight="false" outlineLevel="0" collapsed="false">
      <c r="G555" s="4"/>
      <c r="H555" s="4"/>
    </row>
    <row r="556" customFormat="false" ht="15.75" hidden="false" customHeight="false" outlineLevel="0" collapsed="false">
      <c r="G556" s="4"/>
      <c r="H556" s="4"/>
    </row>
    <row r="557" customFormat="false" ht="15.75" hidden="false" customHeight="false" outlineLevel="0" collapsed="false">
      <c r="G557" s="4"/>
      <c r="H557" s="4"/>
    </row>
    <row r="558" customFormat="false" ht="15.75" hidden="false" customHeight="false" outlineLevel="0" collapsed="false">
      <c r="G558" s="4"/>
      <c r="H558" s="4"/>
    </row>
    <row r="559" customFormat="false" ht="15.75" hidden="false" customHeight="false" outlineLevel="0" collapsed="false">
      <c r="G559" s="4"/>
      <c r="H559" s="4"/>
    </row>
    <row r="560" customFormat="false" ht="15.75" hidden="false" customHeight="false" outlineLevel="0" collapsed="false">
      <c r="G560" s="4"/>
      <c r="H560" s="4"/>
    </row>
    <row r="561" customFormat="false" ht="15.75" hidden="false" customHeight="false" outlineLevel="0" collapsed="false">
      <c r="G561" s="4"/>
      <c r="H561" s="4"/>
    </row>
    <row r="562" customFormat="false" ht="15.75" hidden="false" customHeight="false" outlineLevel="0" collapsed="false">
      <c r="G562" s="4"/>
      <c r="H562" s="4"/>
    </row>
    <row r="563" customFormat="false" ht="15.75" hidden="false" customHeight="false" outlineLevel="0" collapsed="false">
      <c r="G563" s="4"/>
      <c r="H563" s="4"/>
    </row>
    <row r="564" customFormat="false" ht="15.75" hidden="false" customHeight="false" outlineLevel="0" collapsed="false">
      <c r="G564" s="4"/>
      <c r="H564" s="4"/>
    </row>
    <row r="565" customFormat="false" ht="15.75" hidden="false" customHeight="false" outlineLevel="0" collapsed="false">
      <c r="G565" s="4"/>
      <c r="H565" s="4"/>
    </row>
    <row r="566" customFormat="false" ht="15.75" hidden="false" customHeight="false" outlineLevel="0" collapsed="false">
      <c r="G566" s="4"/>
      <c r="H566" s="4"/>
    </row>
    <row r="567" customFormat="false" ht="15.75" hidden="false" customHeight="false" outlineLevel="0" collapsed="false">
      <c r="G567" s="4"/>
      <c r="H567" s="4"/>
    </row>
    <row r="568" customFormat="false" ht="15.75" hidden="false" customHeight="false" outlineLevel="0" collapsed="false">
      <c r="G568" s="4"/>
      <c r="H568" s="4"/>
    </row>
    <row r="569" customFormat="false" ht="15.75" hidden="false" customHeight="false" outlineLevel="0" collapsed="false">
      <c r="G569" s="4"/>
      <c r="H569" s="4"/>
    </row>
    <row r="570" customFormat="false" ht="15.75" hidden="false" customHeight="false" outlineLevel="0" collapsed="false">
      <c r="G570" s="4"/>
      <c r="H570" s="4"/>
    </row>
    <row r="571" customFormat="false" ht="15.75" hidden="false" customHeight="false" outlineLevel="0" collapsed="false">
      <c r="G571" s="4"/>
      <c r="H571" s="4"/>
    </row>
    <row r="572" customFormat="false" ht="15.75" hidden="false" customHeight="false" outlineLevel="0" collapsed="false">
      <c r="G572" s="4"/>
      <c r="H572" s="4"/>
    </row>
    <row r="573" customFormat="false" ht="15.75" hidden="false" customHeight="false" outlineLevel="0" collapsed="false">
      <c r="G573" s="4"/>
      <c r="H573" s="4"/>
    </row>
    <row r="574" customFormat="false" ht="15.75" hidden="false" customHeight="false" outlineLevel="0" collapsed="false">
      <c r="G574" s="4"/>
      <c r="H574" s="4"/>
    </row>
    <row r="575" customFormat="false" ht="15.75" hidden="false" customHeight="false" outlineLevel="0" collapsed="false">
      <c r="G575" s="4"/>
      <c r="H575" s="4"/>
    </row>
    <row r="576" customFormat="false" ht="15.75" hidden="false" customHeight="false" outlineLevel="0" collapsed="false">
      <c r="G576" s="4"/>
      <c r="H576" s="4"/>
    </row>
    <row r="577" customFormat="false" ht="15.75" hidden="false" customHeight="false" outlineLevel="0" collapsed="false">
      <c r="G577" s="4"/>
      <c r="H577" s="4"/>
    </row>
    <row r="578" customFormat="false" ht="15.75" hidden="false" customHeight="false" outlineLevel="0" collapsed="false">
      <c r="G578" s="4"/>
      <c r="H578" s="4"/>
    </row>
    <row r="579" customFormat="false" ht="15.75" hidden="false" customHeight="false" outlineLevel="0" collapsed="false">
      <c r="G579" s="4"/>
      <c r="H579" s="4"/>
    </row>
    <row r="580" customFormat="false" ht="15.75" hidden="false" customHeight="false" outlineLevel="0" collapsed="false">
      <c r="G580" s="4"/>
      <c r="H580" s="4"/>
    </row>
    <row r="581" customFormat="false" ht="15.75" hidden="false" customHeight="false" outlineLevel="0" collapsed="false">
      <c r="G581" s="4"/>
      <c r="H581" s="4"/>
    </row>
    <row r="582" customFormat="false" ht="15.75" hidden="false" customHeight="false" outlineLevel="0" collapsed="false">
      <c r="G582" s="4"/>
      <c r="H582" s="4"/>
    </row>
    <row r="583" customFormat="false" ht="15.75" hidden="false" customHeight="false" outlineLevel="0" collapsed="false">
      <c r="G583" s="4"/>
      <c r="H583" s="4"/>
    </row>
    <row r="584" customFormat="false" ht="15.75" hidden="false" customHeight="false" outlineLevel="0" collapsed="false">
      <c r="G584" s="4"/>
      <c r="H584" s="4"/>
    </row>
    <row r="585" customFormat="false" ht="15.75" hidden="false" customHeight="false" outlineLevel="0" collapsed="false">
      <c r="G585" s="4"/>
      <c r="H585" s="4"/>
    </row>
    <row r="586" customFormat="false" ht="15.75" hidden="false" customHeight="false" outlineLevel="0" collapsed="false">
      <c r="G586" s="4"/>
      <c r="H586" s="4"/>
    </row>
    <row r="587" customFormat="false" ht="15.75" hidden="false" customHeight="false" outlineLevel="0" collapsed="false">
      <c r="G587" s="4"/>
      <c r="H587" s="4"/>
    </row>
    <row r="588" customFormat="false" ht="15.75" hidden="false" customHeight="false" outlineLevel="0" collapsed="false">
      <c r="G588" s="4"/>
      <c r="H588" s="4"/>
    </row>
    <row r="589" customFormat="false" ht="15.75" hidden="false" customHeight="false" outlineLevel="0" collapsed="false">
      <c r="G589" s="4"/>
      <c r="H589" s="4"/>
    </row>
    <row r="590" customFormat="false" ht="15.75" hidden="false" customHeight="false" outlineLevel="0" collapsed="false">
      <c r="G590" s="4"/>
      <c r="H590" s="4"/>
    </row>
    <row r="591" customFormat="false" ht="15.75" hidden="false" customHeight="false" outlineLevel="0" collapsed="false">
      <c r="G591" s="4"/>
      <c r="H591" s="4"/>
    </row>
    <row r="592" customFormat="false" ht="15.75" hidden="false" customHeight="false" outlineLevel="0" collapsed="false">
      <c r="G592" s="4"/>
      <c r="H592" s="4"/>
    </row>
    <row r="593" customFormat="false" ht="15.75" hidden="false" customHeight="false" outlineLevel="0" collapsed="false">
      <c r="G593" s="4"/>
      <c r="H593" s="4"/>
    </row>
    <row r="594" customFormat="false" ht="15.75" hidden="false" customHeight="false" outlineLevel="0" collapsed="false">
      <c r="G594" s="4"/>
      <c r="H594" s="4"/>
    </row>
    <row r="595" customFormat="false" ht="15.75" hidden="false" customHeight="false" outlineLevel="0" collapsed="false">
      <c r="G595" s="4"/>
      <c r="H595" s="4"/>
    </row>
    <row r="596" customFormat="false" ht="15.75" hidden="false" customHeight="false" outlineLevel="0" collapsed="false">
      <c r="G596" s="4"/>
      <c r="H596" s="4"/>
    </row>
    <row r="597" customFormat="false" ht="15.75" hidden="false" customHeight="false" outlineLevel="0" collapsed="false">
      <c r="G597" s="4"/>
      <c r="H597" s="4"/>
    </row>
    <row r="598" customFormat="false" ht="15.75" hidden="false" customHeight="false" outlineLevel="0" collapsed="false">
      <c r="G598" s="4"/>
      <c r="H598" s="4"/>
    </row>
    <row r="599" customFormat="false" ht="15.75" hidden="false" customHeight="false" outlineLevel="0" collapsed="false">
      <c r="G599" s="4"/>
      <c r="H599" s="4"/>
    </row>
    <row r="600" customFormat="false" ht="15.75" hidden="false" customHeight="false" outlineLevel="0" collapsed="false">
      <c r="G600" s="4"/>
      <c r="H600" s="4"/>
    </row>
    <row r="601" customFormat="false" ht="15.75" hidden="false" customHeight="false" outlineLevel="0" collapsed="false">
      <c r="G601" s="4"/>
      <c r="H601" s="4"/>
    </row>
    <row r="602" customFormat="false" ht="15.75" hidden="false" customHeight="false" outlineLevel="0" collapsed="false">
      <c r="G602" s="4"/>
      <c r="H602" s="4"/>
    </row>
    <row r="603" customFormat="false" ht="15.75" hidden="false" customHeight="false" outlineLevel="0" collapsed="false">
      <c r="G603" s="4"/>
      <c r="H603" s="4"/>
    </row>
    <row r="604" customFormat="false" ht="15.75" hidden="false" customHeight="false" outlineLevel="0" collapsed="false">
      <c r="G604" s="4"/>
      <c r="H604" s="4"/>
    </row>
    <row r="605" customFormat="false" ht="15.75" hidden="false" customHeight="false" outlineLevel="0" collapsed="false">
      <c r="G605" s="4"/>
      <c r="H605" s="4"/>
    </row>
    <row r="606" customFormat="false" ht="15.75" hidden="false" customHeight="false" outlineLevel="0" collapsed="false">
      <c r="G606" s="4"/>
      <c r="H606" s="4"/>
    </row>
    <row r="607" customFormat="false" ht="15.75" hidden="false" customHeight="false" outlineLevel="0" collapsed="false">
      <c r="G607" s="4"/>
      <c r="H607" s="4"/>
    </row>
    <row r="608" customFormat="false" ht="15.75" hidden="false" customHeight="false" outlineLevel="0" collapsed="false">
      <c r="G608" s="4"/>
      <c r="H608" s="4"/>
    </row>
    <row r="609" customFormat="false" ht="15.75" hidden="false" customHeight="false" outlineLevel="0" collapsed="false">
      <c r="G609" s="4"/>
      <c r="H609" s="4"/>
    </row>
    <row r="610" customFormat="false" ht="15.75" hidden="false" customHeight="false" outlineLevel="0" collapsed="false">
      <c r="G610" s="4"/>
      <c r="H610" s="4"/>
    </row>
    <row r="611" customFormat="false" ht="15.75" hidden="false" customHeight="false" outlineLevel="0" collapsed="false">
      <c r="G611" s="4"/>
      <c r="H611" s="4"/>
    </row>
    <row r="612" customFormat="false" ht="15.75" hidden="false" customHeight="false" outlineLevel="0" collapsed="false">
      <c r="G612" s="4"/>
      <c r="H612" s="4"/>
    </row>
    <row r="613" customFormat="false" ht="15.75" hidden="false" customHeight="false" outlineLevel="0" collapsed="false">
      <c r="G613" s="4"/>
      <c r="H613" s="4"/>
    </row>
    <row r="614" customFormat="false" ht="15.75" hidden="false" customHeight="false" outlineLevel="0" collapsed="false">
      <c r="G614" s="4"/>
      <c r="H614" s="4"/>
    </row>
    <row r="615" customFormat="false" ht="15.75" hidden="false" customHeight="false" outlineLevel="0" collapsed="false">
      <c r="G615" s="4"/>
      <c r="H615" s="4"/>
    </row>
    <row r="616" customFormat="false" ht="15.75" hidden="false" customHeight="false" outlineLevel="0" collapsed="false">
      <c r="G616" s="4"/>
      <c r="H616" s="4"/>
    </row>
    <row r="617" customFormat="false" ht="15.75" hidden="false" customHeight="false" outlineLevel="0" collapsed="false">
      <c r="G617" s="4"/>
      <c r="H617" s="4"/>
    </row>
    <row r="618" customFormat="false" ht="15.75" hidden="false" customHeight="false" outlineLevel="0" collapsed="false">
      <c r="G618" s="4"/>
      <c r="H618" s="4"/>
    </row>
    <row r="619" customFormat="false" ht="15.75" hidden="false" customHeight="false" outlineLevel="0" collapsed="false">
      <c r="G619" s="4"/>
      <c r="H619" s="4"/>
    </row>
    <row r="620" customFormat="false" ht="15.75" hidden="false" customHeight="false" outlineLevel="0" collapsed="false">
      <c r="G620" s="4"/>
      <c r="H620" s="4"/>
    </row>
    <row r="621" customFormat="false" ht="15.75" hidden="false" customHeight="false" outlineLevel="0" collapsed="false">
      <c r="G621" s="4"/>
      <c r="H621" s="4"/>
    </row>
    <row r="622" customFormat="false" ht="15.75" hidden="false" customHeight="false" outlineLevel="0" collapsed="false">
      <c r="G622" s="4"/>
      <c r="H622" s="4"/>
    </row>
    <row r="623" customFormat="false" ht="15.75" hidden="false" customHeight="false" outlineLevel="0" collapsed="false">
      <c r="G623" s="4"/>
      <c r="H623" s="4"/>
    </row>
    <row r="624" customFormat="false" ht="15.75" hidden="false" customHeight="false" outlineLevel="0" collapsed="false">
      <c r="G624" s="4"/>
      <c r="H624" s="4"/>
    </row>
    <row r="625" customFormat="false" ht="15.75" hidden="false" customHeight="false" outlineLevel="0" collapsed="false">
      <c r="G625" s="4"/>
      <c r="H625" s="4"/>
    </row>
    <row r="626" customFormat="false" ht="15.75" hidden="false" customHeight="false" outlineLevel="0" collapsed="false">
      <c r="G626" s="4"/>
      <c r="H626" s="4"/>
    </row>
    <row r="627" customFormat="false" ht="15.75" hidden="false" customHeight="false" outlineLevel="0" collapsed="false">
      <c r="G627" s="4"/>
      <c r="H627" s="4"/>
    </row>
    <row r="628" customFormat="false" ht="15.75" hidden="false" customHeight="false" outlineLevel="0" collapsed="false">
      <c r="G628" s="4"/>
      <c r="H628" s="4"/>
    </row>
    <row r="629" customFormat="false" ht="15.75" hidden="false" customHeight="false" outlineLevel="0" collapsed="false">
      <c r="G629" s="4"/>
      <c r="H629" s="4"/>
    </row>
    <row r="630" customFormat="false" ht="15.75" hidden="false" customHeight="false" outlineLevel="0" collapsed="false">
      <c r="G630" s="4"/>
      <c r="H630" s="4"/>
    </row>
    <row r="631" customFormat="false" ht="15.75" hidden="false" customHeight="false" outlineLevel="0" collapsed="false">
      <c r="G631" s="4"/>
      <c r="H631" s="4"/>
    </row>
    <row r="632" customFormat="false" ht="15.75" hidden="false" customHeight="false" outlineLevel="0" collapsed="false">
      <c r="G632" s="4"/>
      <c r="H632" s="4"/>
    </row>
    <row r="633" customFormat="false" ht="15.75" hidden="false" customHeight="false" outlineLevel="0" collapsed="false">
      <c r="G633" s="4"/>
      <c r="H633" s="4"/>
    </row>
    <row r="634" customFormat="false" ht="15.75" hidden="false" customHeight="false" outlineLevel="0" collapsed="false">
      <c r="G634" s="4"/>
      <c r="H634" s="4"/>
    </row>
    <row r="635" customFormat="false" ht="15.75" hidden="false" customHeight="false" outlineLevel="0" collapsed="false">
      <c r="G635" s="4"/>
      <c r="H635" s="4"/>
    </row>
    <row r="636" customFormat="false" ht="15.75" hidden="false" customHeight="false" outlineLevel="0" collapsed="false">
      <c r="G636" s="4"/>
      <c r="H636" s="4"/>
    </row>
    <row r="637" customFormat="false" ht="15.75" hidden="false" customHeight="false" outlineLevel="0" collapsed="false">
      <c r="G637" s="4"/>
      <c r="H637" s="4"/>
    </row>
    <row r="638" customFormat="false" ht="15.75" hidden="false" customHeight="false" outlineLevel="0" collapsed="false">
      <c r="G638" s="4"/>
      <c r="H638" s="4"/>
    </row>
    <row r="639" customFormat="false" ht="15.75" hidden="false" customHeight="false" outlineLevel="0" collapsed="false">
      <c r="G639" s="4"/>
      <c r="H639" s="4"/>
    </row>
    <row r="640" customFormat="false" ht="15.75" hidden="false" customHeight="false" outlineLevel="0" collapsed="false">
      <c r="G640" s="4"/>
      <c r="H640" s="4"/>
    </row>
    <row r="641" customFormat="false" ht="15.75" hidden="false" customHeight="false" outlineLevel="0" collapsed="false">
      <c r="G641" s="4"/>
      <c r="H641" s="4"/>
    </row>
    <row r="642" customFormat="false" ht="15.75" hidden="false" customHeight="false" outlineLevel="0" collapsed="false">
      <c r="G642" s="4"/>
      <c r="H642" s="4"/>
    </row>
    <row r="643" customFormat="false" ht="15.75" hidden="false" customHeight="false" outlineLevel="0" collapsed="false">
      <c r="G643" s="4"/>
      <c r="H643" s="4"/>
    </row>
    <row r="644" customFormat="false" ht="15.75" hidden="false" customHeight="false" outlineLevel="0" collapsed="false">
      <c r="G644" s="4"/>
      <c r="H644" s="4"/>
    </row>
    <row r="645" customFormat="false" ht="15.75" hidden="false" customHeight="false" outlineLevel="0" collapsed="false">
      <c r="G645" s="4"/>
      <c r="H645" s="4"/>
    </row>
    <row r="646" customFormat="false" ht="15.75" hidden="false" customHeight="false" outlineLevel="0" collapsed="false">
      <c r="G646" s="4"/>
      <c r="H646" s="4"/>
    </row>
    <row r="647" customFormat="false" ht="15.75" hidden="false" customHeight="false" outlineLevel="0" collapsed="false">
      <c r="G647" s="4"/>
      <c r="H647" s="4"/>
    </row>
    <row r="648" customFormat="false" ht="15.75" hidden="false" customHeight="false" outlineLevel="0" collapsed="false">
      <c r="G648" s="4"/>
      <c r="H648" s="4"/>
    </row>
    <row r="649" customFormat="false" ht="15.75" hidden="false" customHeight="false" outlineLevel="0" collapsed="false">
      <c r="G649" s="4"/>
      <c r="H649" s="4"/>
    </row>
    <row r="650" customFormat="false" ht="15.75" hidden="false" customHeight="false" outlineLevel="0" collapsed="false">
      <c r="G650" s="4"/>
      <c r="H650" s="4"/>
    </row>
    <row r="651" customFormat="false" ht="15.75" hidden="false" customHeight="false" outlineLevel="0" collapsed="false">
      <c r="G651" s="4"/>
      <c r="H651" s="4"/>
    </row>
    <row r="652" customFormat="false" ht="15.75" hidden="false" customHeight="false" outlineLevel="0" collapsed="false">
      <c r="G652" s="4"/>
      <c r="H652" s="4"/>
    </row>
    <row r="653" customFormat="false" ht="15.75" hidden="false" customHeight="false" outlineLevel="0" collapsed="false">
      <c r="G653" s="4"/>
      <c r="H653" s="4"/>
    </row>
    <row r="654" customFormat="false" ht="15.75" hidden="false" customHeight="false" outlineLevel="0" collapsed="false">
      <c r="G654" s="4"/>
      <c r="H654" s="4"/>
    </row>
    <row r="655" customFormat="false" ht="15.75" hidden="false" customHeight="false" outlineLevel="0" collapsed="false">
      <c r="G655" s="4"/>
      <c r="H655" s="4"/>
    </row>
    <row r="656" customFormat="false" ht="15.75" hidden="false" customHeight="false" outlineLevel="0" collapsed="false">
      <c r="G656" s="4"/>
      <c r="H656" s="4"/>
    </row>
    <row r="657" customFormat="false" ht="15.75" hidden="false" customHeight="false" outlineLevel="0" collapsed="false">
      <c r="G657" s="4"/>
      <c r="H657" s="4"/>
    </row>
    <row r="658" customFormat="false" ht="15.75" hidden="false" customHeight="false" outlineLevel="0" collapsed="false">
      <c r="G658" s="4"/>
      <c r="H658" s="4"/>
    </row>
    <row r="659" customFormat="false" ht="15.75" hidden="false" customHeight="false" outlineLevel="0" collapsed="false">
      <c r="G659" s="4"/>
      <c r="H659" s="4"/>
    </row>
    <row r="660" customFormat="false" ht="15.75" hidden="false" customHeight="false" outlineLevel="0" collapsed="false">
      <c r="G660" s="4"/>
      <c r="H660" s="4"/>
    </row>
    <row r="661" customFormat="false" ht="15.75" hidden="false" customHeight="false" outlineLevel="0" collapsed="false">
      <c r="G661" s="4"/>
      <c r="H661" s="4"/>
    </row>
    <row r="662" customFormat="false" ht="15.75" hidden="false" customHeight="false" outlineLevel="0" collapsed="false">
      <c r="G662" s="4"/>
      <c r="H662" s="4"/>
    </row>
    <row r="663" customFormat="false" ht="15.75" hidden="false" customHeight="false" outlineLevel="0" collapsed="false">
      <c r="G663" s="4"/>
      <c r="H663" s="4"/>
    </row>
    <row r="664" customFormat="false" ht="15.75" hidden="false" customHeight="false" outlineLevel="0" collapsed="false">
      <c r="G664" s="4"/>
      <c r="H664" s="4"/>
    </row>
    <row r="665" customFormat="false" ht="15.75" hidden="false" customHeight="false" outlineLevel="0" collapsed="false">
      <c r="G665" s="4"/>
      <c r="H665" s="4"/>
    </row>
    <row r="666" customFormat="false" ht="15.75" hidden="false" customHeight="false" outlineLevel="0" collapsed="false">
      <c r="G666" s="4"/>
      <c r="H666" s="4"/>
    </row>
    <row r="667" customFormat="false" ht="15.75" hidden="false" customHeight="false" outlineLevel="0" collapsed="false">
      <c r="G667" s="4"/>
      <c r="H667" s="4"/>
    </row>
    <row r="668" customFormat="false" ht="15.75" hidden="false" customHeight="false" outlineLevel="0" collapsed="false">
      <c r="G668" s="4"/>
      <c r="H668" s="4"/>
    </row>
  </sheetData>
  <conditionalFormatting sqref="A2:A1000 C2:C12">
    <cfRule type="expression" priority="2" aboveAverage="0" equalAverage="0" bottom="0" percent="0" rank="0" text="" dxfId="0">
      <formula>B2="YES"</formula>
    </cfRule>
  </conditionalFormatting>
  <conditionalFormatting sqref="C2:C1000">
    <cfRule type="expression" priority="3" aboveAverage="0" equalAverage="0" bottom="0" percent="0" rank="0" text="" dxfId="0">
      <formula>D2="YES"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