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MOAUTO\Documents\CLIENTES ADJUDICADOS\15ava Noviembre\ROJAS DELGADO NOHELY\"/>
    </mc:Choice>
  </mc:AlternateContent>
  <bookViews>
    <workbookView xWindow="0" yWindow="0" windowWidth="20490" windowHeight="7050"/>
  </bookViews>
  <sheets>
    <sheet name="Informe" sheetId="2" r:id="rId1"/>
    <sheet name="Aprobacion" sheetId="1" r:id="rId2"/>
    <sheet name="Liquidacion" sheetId="3" r:id="rId3"/>
    <sheet name="Orden Compra" sheetId="4" r:id="rId4"/>
  </sheets>
  <externalReferences>
    <externalReference r:id="rId5"/>
  </externalReferences>
  <definedNames>
    <definedName name="ACTIVIDAD_EMPRESA">#REF!</definedName>
    <definedName name="_xlnm.Print_Area" localSheetId="1">Aprobacion!$A$2:$G$51</definedName>
    <definedName name="_xlnm.Print_Area" localSheetId="0">Informe!$A$1:$G$62</definedName>
    <definedName name="_xlnm.Print_Area" localSheetId="2">Liquidacion!$A$1:$G$51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C24" i="1" l="1"/>
  <c r="F36" i="2" l="1"/>
  <c r="E32" i="4" l="1"/>
  <c r="F24" i="3"/>
  <c r="E25" i="1"/>
  <c r="C16" i="1"/>
  <c r="C15" i="1"/>
  <c r="B12" i="4" l="1"/>
  <c r="C25" i="1" l="1"/>
  <c r="F10" i="3" l="1"/>
  <c r="E10" i="3"/>
  <c r="D10" i="3"/>
  <c r="C10" i="3"/>
  <c r="C9" i="3"/>
  <c r="F18" i="3" s="1"/>
  <c r="F7" i="3"/>
  <c r="C7" i="3"/>
  <c r="D19" i="4" s="1"/>
  <c r="C6" i="3"/>
  <c r="D18" i="4" s="1"/>
  <c r="D36" i="1"/>
  <c r="D34" i="1"/>
  <c r="D33" i="1"/>
  <c r="C13" i="3" l="1"/>
  <c r="E35" i="4"/>
  <c r="C14" i="3"/>
  <c r="C7" i="4"/>
  <c r="C40" i="3" l="1"/>
  <c r="B20" i="3"/>
  <c r="E34" i="4"/>
  <c r="F22" i="3"/>
  <c r="F27" i="3" l="1"/>
  <c r="E33" i="4" s="1"/>
  <c r="F20" i="3"/>
  <c r="D13" i="3"/>
  <c r="D15" i="3" s="1"/>
  <c r="D24" i="1"/>
  <c r="E36" i="4" l="1"/>
  <c r="E37" i="4" s="1"/>
  <c r="B37" i="4" s="1"/>
  <c r="E14" i="3"/>
  <c r="C15" i="3"/>
  <c r="E15" i="3" l="1"/>
  <c r="E13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<sst xmlns="http://schemas.openxmlformats.org/spreadsheetml/2006/main" count="189" uniqueCount="148">
  <si>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</si>
  <si>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</si>
  <si>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</si>
  <si>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</si>
  <si>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</si>
  <si>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</si>
  <si>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</si>
  <si>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</si>
  <si>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</si>
  <si>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</si>
  <si>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</si>
  <si>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</si>
  <si>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</si>
  <si>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</si>
  <si>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</si>
  <si>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</si>
  <si>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</si>
  <si>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</si>
  <si>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</si>
  <si>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</si>
  <si>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</si>
  <si>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</si>
  <si>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</si>
  <si>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</si>
  <si>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</si>
  <si>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</si>
  <si>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Codigo</t>
  </si>
  <si>
    <t>Cedula de Ciudadania:</t>
  </si>
  <si>
    <t>Nombre del Socio Adj.:</t>
  </si>
  <si>
    <t>Puntaje</t>
  </si>
  <si>
    <t>CALIFICADOR PARA COMPRA DEL BIEN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</si>
  <si>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</si>
  <si>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</si>
  <si>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</si>
  <si>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</si>
  <si>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</si>
  <si>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</si>
  <si>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</si>
  <si>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</si>
  <si>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</si>
  <si>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</si>
  <si>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</si>
  <si>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</si>
  <si>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</si>
  <si>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</si>
  <si>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Casa Valor:</t>
  </si>
  <si>
    <t>Dirección:</t>
  </si>
  <si>
    <t>Terreno Valor:</t>
  </si>
  <si>
    <t>Placa:</t>
  </si>
  <si>
    <t>REVISION EN PAGINAS DE CONTROL</t>
  </si>
  <si>
    <t>SRI, deudas firmes y estado Tributario: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</si>
  <si>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</si>
  <si>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</si>
  <si>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</si>
  <si>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</si>
  <si>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</si>
  <si>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</si>
  <si>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</si>
  <si>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</si>
  <si>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</si>
  <si>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</si>
  <si>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</si>
  <si>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</si>
  <si>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</si>
  <si>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</si>
  <si>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</si>
  <si>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</si>
  <si>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</si>
  <si>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</si>
  <si>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</si>
  <si>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</si>
  <si>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</si>
  <si>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</si>
  <si>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</si>
  <si>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</si>
  <si>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</si>
  <si>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</si>
  <si>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</si>
  <si>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NO</t>
  </si>
  <si>
    <t>AL DIA</t>
  </si>
  <si>
    <t>GP-Análisis 02 Ver 02 03 20</t>
  </si>
  <si>
    <t>Cedula de Ciudadanía:</t>
  </si>
  <si>
    <t>Código</t>
  </si>
  <si>
    <t>Nombre del Cónyuge.:</t>
  </si>
  <si>
    <t>Vehículo Valor:</t>
  </si>
  <si>
    <t>Buró de Crédito:</t>
  </si>
  <si>
    <t>Policía Nacional antecedentes:</t>
  </si>
  <si>
    <t>LIQUIDACION DE COMPRA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</si>
  <si>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</si>
  <si>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</si>
  <si>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</si>
  <si>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</si>
  <si>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</si>
  <si>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</si>
  <si>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</si>
  <si>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</si>
  <si>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</si>
  <si>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</si>
  <si>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</si>
  <si>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</si>
  <si>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</si>
  <si>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</si>
  <si>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</si>
  <si>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</si>
  <si>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</si>
  <si>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</si>
  <si>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</si>
  <si>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</si>
  <si>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</si>
  <si>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</si>
  <si>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</si>
  <si>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</si>
  <si>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</si>
  <si>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</si>
  <si>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</si>
  <si>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</si>
  <si>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</si>
  <si>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</si>
  <si>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</si>
  <si>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</si>
  <si>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</si>
  <si>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</si>
  <si>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</si>
  <si>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</si>
  <si>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MITSUBISHI</t>
  </si>
  <si>
    <t>L200 HI RIDER</t>
  </si>
  <si>
    <t>Manabí, Calceta, Cdla. Santa Martha, av Universitaria</t>
  </si>
  <si>
    <t>0993850566 - 052475090</t>
  </si>
  <si>
    <t xml:space="preserve">BLANCO </t>
  </si>
  <si>
    <t>PRENDA COMERCIAL ORDINARIA A FAVOR DE PROMOAUTO S.A.</t>
  </si>
  <si>
    <t>Gerencia Operativo</t>
  </si>
  <si>
    <t>AUTOMEKANO</t>
  </si>
  <si>
    <t>Compra de un vehiculo marca SOUEST, modelo L200 del año 2021 color Blanco</t>
  </si>
  <si>
    <t>ROJAS DELGADO NOHELY ITALIA</t>
  </si>
  <si>
    <t>P001-11</t>
  </si>
  <si>
    <t>REYES TUMBACO GUSTAVO DAVID</t>
  </si>
  <si>
    <t>Cliente vive hace 1 año en la Coop Reinaldo Quiñonez Mz 2251 Sl. 13 en casa propia. Presenta pago de predio actual. Información confirmada por le cliente.</t>
  </si>
  <si>
    <t>PICHINCHA</t>
  </si>
  <si>
    <t>GUAYAQUIL PASCUALES</t>
  </si>
  <si>
    <t>EVALUACION</t>
  </si>
  <si>
    <t>SI</t>
  </si>
  <si>
    <t>Función Judicial</t>
  </si>
  <si>
    <t>Fiscalia General del Estado</t>
  </si>
  <si>
    <t>Analista de Crédito</t>
  </si>
  <si>
    <t>Cliente adjudicado por Evaluación en asamblea del mes de octubre.</t>
  </si>
  <si>
    <t>Guayaquil, 11 de Noviembre del 2021</t>
  </si>
  <si>
    <t>Cliente adjudicado por EVALUACIÓN, 31 cuotas canceladas del plan, el riesgo bajó el 43,06% en relación al saldo del plan.
Cliente demuestra capacidad de pago. Tiene cuenta de ahorros en Bco Pichincha desde el 2020 promedio de 2 Cifras bajas, esposo tiene cuenta de ahorros en Banco Pichincha cuenta activa desde el 2019 promedio de 3 Cifras medias.</t>
  </si>
  <si>
    <t>Cliente independiente tiene negocio propio funciona en su domicilio tiene una Purificadora de agua "HIDROXPURE" desde el 2016 en la que atiende junto a su esposo.A parte el esposo realiza actividades de ventas al por menor por comisionistas. Lo que le genera ingresos mensuales alrededor de $2000. Ambos tienen RUC y entregan declaraciones Renta e IVA respectivamente.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</si>
</sst>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&quot;$&quot;\-#,##0.00"/>
    <numFmt numFmtId="164" formatCode="&quot;$&quot;#,##0.00;[Red]\-&quot;$&quot;#,##0.00"/>
    <numFmt numFmtId="165" formatCode="#,##0\ &quot;Años&quot;"/>
    <numFmt numFmtId="166" formatCode="#,##0\ &quot;Cuotas&quot;"/>
    <numFmt numFmtId="167" formatCode="0000000000"/>
    <numFmt numFmtId="168" formatCode="[$-F800]dddd\,\ mmmm\ dd\,\ yyyy"/>
  </numFmts>
  <fonts count="12" x14ac:knownFonts="1">
    <font>
      <sz val="10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u val="double"/>
      <sz val="12"/>
      <name val="MS Sans Serif"/>
      <family val="2"/>
    </font>
    <font>
      <b/>
      <sz val="12"/>
      <name val="MS Sans Serif"/>
      <family val="2"/>
    </font>
    <font>
      <b/>
      <u val="double"/>
      <sz val="13.5"/>
      <name val="MS Sans Serif"/>
      <family val="2"/>
    </font>
    <font>
      <sz val="10"/>
      <color theme="0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2" fillId="0" borderId="4" xfId="0" applyFont="1" applyBorder="1"/>
    <xf numFmtId="0" fontId="0" fillId="0" borderId="0" xfId="0" applyBorder="1" applyAlignment="1">
      <alignment horizontal="center"/>
    </xf>
    <xf numFmtId="0" fontId="2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2" fillId="0" borderId="11" xfId="0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2" fillId="0" borderId="2" xfId="0" applyFont="1" applyBorder="1"/>
    <xf numFmtId="0" fontId="4" fillId="0" borderId="2" xfId="0" applyFont="1" applyFill="1" applyBorder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4" fillId="0" borderId="0" xfId="1" applyFont="1" applyBorder="1"/>
    <xf numFmtId="0" fontId="6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/>
    <xf numFmtId="164" fontId="0" fillId="0" borderId="0" xfId="1" applyFont="1" applyBorder="1"/>
    <xf numFmtId="165" fontId="4" fillId="3" borderId="11" xfId="0" applyNumberFormat="1" applyFont="1" applyFill="1" applyBorder="1" applyAlignment="1">
      <alignment horizontal="center"/>
    </xf>
    <xf numFmtId="164" fontId="4" fillId="0" borderId="11" xfId="1" applyFont="1" applyBorder="1"/>
    <xf numFmtId="0" fontId="0" fillId="0" borderId="1" xfId="0" applyBorder="1" applyAlignment="1">
      <alignment horizontal="center"/>
    </xf>
    <xf numFmtId="164" fontId="0" fillId="0" borderId="2" xfId="1" applyFont="1" applyBorder="1"/>
    <xf numFmtId="9" fontId="4" fillId="0" borderId="4" xfId="2" applyFont="1" applyBorder="1" applyAlignment="1">
      <alignment horizontal="center"/>
    </xf>
    <xf numFmtId="0" fontId="4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1" fillId="0" borderId="10" xfId="0" applyFont="1" applyBorder="1"/>
    <xf numFmtId="10" fontId="0" fillId="0" borderId="1" xfId="2" applyNumberFormat="1" applyFont="1" applyBorder="1" applyAlignment="1">
      <alignment horizontal="center"/>
    </xf>
    <xf numFmtId="166" fontId="0" fillId="0" borderId="2" xfId="0" applyNumberFormat="1" applyBorder="1"/>
    <xf numFmtId="164" fontId="0" fillId="0" borderId="3" xfId="1" applyFont="1" applyBorder="1"/>
    <xf numFmtId="10" fontId="4" fillId="0" borderId="4" xfId="2" applyNumberFormat="1" applyFont="1" applyBorder="1" applyAlignment="1">
      <alignment horizontal="center"/>
    </xf>
    <xf numFmtId="164" fontId="4" fillId="0" borderId="7" xfId="1" applyFont="1" applyBorder="1"/>
    <xf numFmtId="10" fontId="0" fillId="0" borderId="8" xfId="0" applyNumberFormat="1" applyBorder="1" applyAlignment="1">
      <alignment horizontal="center"/>
    </xf>
    <xf numFmtId="166" fontId="0" fillId="0" borderId="9" xfId="0" applyNumberFormat="1" applyBorder="1"/>
    <xf numFmtId="164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1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4" fontId="0" fillId="0" borderId="2" xfId="1" applyFont="1" applyFill="1" applyBorder="1"/>
    <xf numFmtId="0" fontId="1" fillId="0" borderId="3" xfId="0" applyFont="1" applyFill="1" applyBorder="1"/>
    <xf numFmtId="0" fontId="0" fillId="0" borderId="7" xfId="0" applyFill="1" applyBorder="1"/>
    <xf numFmtId="14" fontId="1" fillId="3" borderId="4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3" borderId="0" xfId="1" applyFont="1" applyFill="1" applyBorder="1"/>
    <xf numFmtId="0" fontId="4" fillId="0" borderId="7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3" borderId="14" xfId="1" applyFont="1" applyFill="1" applyBorder="1"/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4" fillId="0" borderId="17" xfId="0" applyFont="1" applyFill="1" applyBorder="1"/>
    <xf numFmtId="0" fontId="6" fillId="0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2" fillId="0" borderId="9" xfId="0" applyFont="1" applyBorder="1"/>
    <xf numFmtId="0" fontId="8" fillId="0" borderId="0" xfId="0" applyFont="1"/>
    <xf numFmtId="0" fontId="1" fillId="0" borderId="7" xfId="0" applyFont="1" applyFill="1" applyBorder="1"/>
    <xf numFmtId="0" fontId="1" fillId="0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14" fontId="4" fillId="3" borderId="14" xfId="0" applyNumberFormat="1" applyFont="1" applyFill="1" applyBorder="1" applyAlignment="1">
      <alignment horizontal="left"/>
    </xf>
    <xf numFmtId="0" fontId="1" fillId="0" borderId="14" xfId="0" applyFont="1" applyFill="1" applyBorder="1"/>
    <xf numFmtId="165" fontId="4" fillId="3" borderId="14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3" borderId="1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4" fontId="1" fillId="0" borderId="2" xfId="1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/>
    <xf numFmtId="167" fontId="4" fillId="3" borderId="18" xfId="0" applyNumberFormat="1" applyFont="1" applyFill="1" applyBorder="1" applyAlignment="1">
      <alignment horizontal="left"/>
    </xf>
    <xf numFmtId="0" fontId="1" fillId="0" borderId="21" xfId="0" applyFont="1" applyFill="1" applyBorder="1"/>
    <xf numFmtId="14" fontId="4" fillId="3" borderId="19" xfId="0" applyNumberFormat="1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8" xfId="0" applyFont="1" applyFill="1" applyBorder="1" applyAlignment="1"/>
    <xf numFmtId="167" fontId="4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4" fontId="4" fillId="0" borderId="4" xfId="0" applyNumberFormat="1" applyFont="1" applyFill="1" applyBorder="1" applyAlignment="1">
      <alignment horizontal="center"/>
    </xf>
    <xf numFmtId="164" fontId="4" fillId="0" borderId="0" xfId="1" applyFont="1" applyFill="1" applyBorder="1"/>
    <xf numFmtId="14" fontId="4" fillId="0" borderId="5" xfId="0" applyNumberFormat="1" applyFont="1" applyFill="1" applyBorder="1" applyAlignment="1">
      <alignment horizontal="center"/>
    </xf>
    <xf numFmtId="164" fontId="4" fillId="0" borderId="11" xfId="1" applyFont="1" applyFill="1" applyBorder="1"/>
    <xf numFmtId="0" fontId="4" fillId="0" borderId="5" xfId="0" applyFont="1" applyFill="1" applyBorder="1" applyAlignment="1">
      <alignment horizontal="center"/>
    </xf>
    <xf numFmtId="164" fontId="1" fillId="0" borderId="0" xfId="1" applyFont="1" applyFill="1" applyBorder="1"/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3" borderId="4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10" xfId="0" applyFont="1" applyBorder="1"/>
    <xf numFmtId="0" fontId="9" fillId="0" borderId="7" xfId="0" applyFont="1" applyBorder="1"/>
    <xf numFmtId="164" fontId="9" fillId="0" borderId="2" xfId="1" applyFont="1" applyBorder="1" applyAlignment="1">
      <alignment horizontal="center"/>
    </xf>
    <xf numFmtId="9" fontId="10" fillId="0" borderId="2" xfId="2" applyFont="1" applyBorder="1" applyAlignment="1">
      <alignment horizontal="center"/>
    </xf>
    <xf numFmtId="9" fontId="9" fillId="0" borderId="0" xfId="2" applyFont="1" applyBorder="1" applyAlignment="1">
      <alignment horizontal="center"/>
    </xf>
    <xf numFmtId="9" fontId="9" fillId="0" borderId="9" xfId="0" applyNumberFormat="1" applyFont="1" applyBorder="1" applyAlignment="1">
      <alignment horizontal="center"/>
    </xf>
    <xf numFmtId="0" fontId="10" fillId="0" borderId="3" xfId="0" applyFont="1" applyBorder="1"/>
    <xf numFmtId="164" fontId="10" fillId="0" borderId="2" xfId="1" applyFont="1" applyBorder="1" applyAlignment="1">
      <alignment horizontal="center"/>
    </xf>
    <xf numFmtId="0" fontId="0" fillId="0" borderId="10" xfId="0" applyFont="1" applyFill="1" applyBorder="1"/>
    <xf numFmtId="0" fontId="9" fillId="0" borderId="9" xfId="0" applyFont="1" applyFill="1" applyBorder="1" applyAlignment="1"/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Border="1" applyAlignment="1">
      <alignment horizontal="center"/>
    </xf>
    <xf numFmtId="0" fontId="0" fillId="0" borderId="7" xfId="0" applyFont="1" applyFill="1" applyBorder="1"/>
    <xf numFmtId="0" fontId="10" fillId="0" borderId="10" xfId="0" applyFont="1" applyFill="1" applyBorder="1"/>
    <xf numFmtId="0" fontId="10" fillId="0" borderId="17" xfId="0" applyFont="1" applyFill="1" applyBorder="1"/>
    <xf numFmtId="164" fontId="4" fillId="0" borderId="9" xfId="1" applyFont="1" applyFill="1" applyBorder="1" applyAlignment="1"/>
    <xf numFmtId="0" fontId="0" fillId="0" borderId="0" xfId="0" applyFont="1" applyFill="1" applyBorder="1"/>
    <xf numFmtId="0" fontId="4" fillId="0" borderId="8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 applyAlignment="1"/>
    <xf numFmtId="0" fontId="0" fillId="0" borderId="18" xfId="0" applyFont="1" applyFill="1" applyBorder="1" applyAlignment="1">
      <alignment horizontal="center"/>
    </xf>
    <xf numFmtId="9" fontId="0" fillId="0" borderId="0" xfId="0" applyNumberFormat="1"/>
    <xf numFmtId="164" fontId="2" fillId="0" borderId="0" xfId="1" applyFont="1" applyBorder="1"/>
    <xf numFmtId="166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6" fontId="4" fillId="3" borderId="0" xfId="0" applyNumberFormat="1" applyFont="1" applyFill="1" applyBorder="1" applyProtection="1">
      <protection locked="0"/>
    </xf>
    <xf numFmtId="0" fontId="0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1" fillId="0" borderId="0" xfId="1" applyFont="1" applyBorder="1"/>
    <xf numFmtId="9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left"/>
    </xf>
    <xf numFmtId="164" fontId="0" fillId="0" borderId="0" xfId="1" applyFont="1"/>
    <xf numFmtId="9" fontId="10" fillId="0" borderId="0" xfId="0" applyNumberFormat="1" applyFont="1" applyAlignment="1">
      <alignment horizontal="center"/>
    </xf>
    <xf numFmtId="164" fontId="9" fillId="0" borderId="0" xfId="1" applyFont="1"/>
    <xf numFmtId="0" fontId="0" fillId="3" borderId="0" xfId="0" applyFill="1"/>
    <xf numFmtId="164" fontId="10" fillId="3" borderId="0" xfId="1" applyFont="1" applyFill="1"/>
    <xf numFmtId="0" fontId="10" fillId="3" borderId="0" xfId="0" applyFont="1" applyFill="1"/>
    <xf numFmtId="164" fontId="10" fillId="0" borderId="2" xfId="1" applyFont="1" applyFill="1" applyBorder="1"/>
    <xf numFmtId="164" fontId="4" fillId="0" borderId="11" xfId="1" applyFont="1" applyFill="1" applyBorder="1" applyAlignment="1">
      <alignment horizontal="right"/>
    </xf>
    <xf numFmtId="0" fontId="0" fillId="0" borderId="1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10" fontId="0" fillId="0" borderId="0" xfId="2" applyNumberFormat="1" applyFont="1"/>
    <xf numFmtId="8" fontId="0" fillId="0" borderId="0" xfId="0" applyNumberFormat="1"/>
    <xf numFmtId="0" fontId="0" fillId="0" borderId="9" xfId="0" applyFont="1" applyFill="1" applyBorder="1" applyAlignment="1"/>
    <xf numFmtId="164" fontId="4" fillId="0" borderId="0" xfId="1" applyFont="1" applyFill="1" applyBorder="1" applyAlignment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0" fontId="9" fillId="0" borderId="11" xfId="0" applyFont="1" applyFill="1" applyBorder="1" applyAlignment="1">
      <alignment horizontal="left"/>
    </xf>
    <xf numFmtId="164" fontId="4" fillId="0" borderId="2" xfId="1" applyFont="1" applyFill="1" applyBorder="1"/>
    <xf numFmtId="0" fontId="4" fillId="0" borderId="1" xfId="0" applyFont="1" applyFill="1" applyBorder="1" applyAlignment="1">
      <alignment horizontal="center"/>
    </xf>
    <xf numFmtId="0" fontId="0" fillId="0" borderId="3" xfId="0" applyFont="1" applyFill="1" applyBorder="1"/>
    <xf numFmtId="0" fontId="10" fillId="2" borderId="11" xfId="0" applyFont="1" applyFill="1" applyBorder="1"/>
    <xf numFmtId="0" fontId="0" fillId="2" borderId="2" xfId="0" applyFont="1" applyFill="1" applyBorder="1" applyAlignment="1">
      <alignment horizontal="left"/>
    </xf>
    <xf numFmtId="164" fontId="10" fillId="2" borderId="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9" fontId="10" fillId="0" borderId="0" xfId="0" applyNumberFormat="1" applyFont="1" applyFill="1" applyAlignment="1">
      <alignment horizontal="center"/>
    </xf>
    <xf numFmtId="166" fontId="4" fillId="5" borderId="0" xfId="0" applyNumberFormat="1" applyFont="1" applyFill="1" applyBorder="1"/>
    <xf numFmtId="0" fontId="6" fillId="5" borderId="12" xfId="0" applyFont="1" applyFill="1" applyBorder="1" applyAlignment="1">
      <alignment horizontal="center"/>
    </xf>
    <xf numFmtId="10" fontId="4" fillId="0" borderId="4" xfId="2" applyNumberFormat="1" applyFont="1" applyFill="1" applyBorder="1" applyAlignment="1">
      <alignment horizontal="center"/>
    </xf>
    <xf numFmtId="164" fontId="0" fillId="5" borderId="9" xfId="1" applyFont="1" applyFill="1" applyBorder="1"/>
    <xf numFmtId="164" fontId="0" fillId="5" borderId="9" xfId="1" applyFont="1" applyFill="1" applyBorder="1" applyAlignment="1">
      <alignment horizontal="center"/>
    </xf>
    <xf numFmtId="9" fontId="4" fillId="0" borderId="1" xfId="2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164" fontId="2" fillId="5" borderId="0" xfId="1" applyFont="1" applyFill="1" applyBorder="1" applyProtection="1">
      <protection locked="0"/>
    </xf>
    <xf numFmtId="10" fontId="10" fillId="5" borderId="0" xfId="0" applyNumberFormat="1" applyFont="1" applyFill="1" applyBorder="1" applyAlignment="1" applyProtection="1">
      <alignment horizontal="center"/>
      <protection locked="0"/>
    </xf>
    <xf numFmtId="14" fontId="10" fillId="0" borderId="1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justify" vertical="center" wrapText="1"/>
    </xf>
    <xf numFmtId="0" fontId="1" fillId="0" borderId="9" xfId="0" applyFont="1" applyFill="1" applyBorder="1" applyAlignment="1">
      <alignment horizontal="justify" vertical="center"/>
    </xf>
    <xf numFmtId="0" fontId="1" fillId="0" borderId="8" xfId="0" applyFont="1" applyFill="1" applyBorder="1" applyAlignment="1">
      <alignment horizontal="justify" vertical="center"/>
    </xf>
    <xf numFmtId="0" fontId="0" fillId="0" borderId="7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/>
    </xf>
    <xf numFmtId="0" fontId="1" fillId="0" borderId="4" xfId="0" applyFont="1" applyFill="1" applyBorder="1" applyAlignment="1">
      <alignment horizontal="justify" vertical="center"/>
    </xf>
    <xf numFmtId="0" fontId="1" fillId="0" borderId="7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2" xfId="0" applyFont="1" applyFill="1" applyBorder="1" applyAlignment="1">
      <alignment horizontal="justify" vertical="center"/>
    </xf>
    <xf numFmtId="0" fontId="1" fillId="0" borderId="1" xfId="0" applyFont="1" applyFill="1" applyBorder="1" applyAlignment="1">
      <alignment horizontal="justify" vertical="center"/>
    </xf>
    <xf numFmtId="0" fontId="0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4" fillId="3" borderId="16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167" fontId="4" fillId="3" borderId="18" xfId="0" applyNumberFormat="1" applyFont="1" applyFill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4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justify" vertical="center" wrapText="1"/>
    </xf>
    <xf numFmtId="0" fontId="0" fillId="0" borderId="1" xfId="0" applyFont="1" applyFill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167" fontId="0" fillId="3" borderId="0" xfId="0" applyNumberFormat="1" applyFill="1" applyBorder="1" applyAlignment="1">
      <alignment horizontal="left"/>
    </xf>
    <xf numFmtId="0" fontId="0" fillId="3" borderId="16" xfId="0" applyFont="1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168" fontId="1" fillId="0" borderId="9" xfId="0" applyNumberFormat="1" applyFont="1" applyBorder="1" applyAlignment="1">
      <alignment horizontal="left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10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9" fillId="3" borderId="0" xfId="0" applyFont="1" applyFill="1" applyAlignment="1">
      <alignment horizontal="center"/>
    </xf>
    <xf numFmtId="168" fontId="0" fillId="0" borderId="0" xfId="0" applyNumberFormat="1" applyAlignment="1">
      <alignment horizontal="left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justify" vertical="center" wrapText="1"/>
    </xf>
    <xf numFmtId="167" fontId="10" fillId="0" borderId="0" xfId="0" applyNumberFormat="1" applyFont="1" applyAlignment="1">
      <alignment horizontal="left"/>
    </xf>
    <xf numFmtId="0" fontId="10" fillId="0" borderId="0" xfId="0" applyFont="1" applyAlignment="1">
      <alignment horizontal="justify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77915</xdr:rowOff>
    </xdr:from>
    <xdr:to>
      <xdr:col>1</xdr:col>
      <xdr:colOff>828675</xdr:colOff>
      <xdr:row>4</xdr:row>
      <xdr:rowOff>144590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277940"/>
          <a:ext cx="790575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66675</xdr:rowOff>
    </xdr:from>
    <xdr:to>
      <xdr:col>1</xdr:col>
      <xdr:colOff>1119827</xdr:colOff>
      <xdr:row>4</xdr:row>
      <xdr:rowOff>129227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66700"/>
          <a:ext cx="786452" cy="7864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838200</xdr:colOff>
      <xdr:row>0</xdr:row>
      <xdr:rowOff>76200</xdr:rowOff>
    </xdr:from>
    <xdr:to>
      <xdr:col>3</xdr:col>
      <xdr:colOff>691202</xdr:colOff>
      <xdr:row>5</xdr:row>
      <xdr:rowOff>53027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76200"/>
          <a:ext cx="786452" cy="7864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1"/>
  <sheetViews>
    <sheetView showGridLines="0" tabSelected="1" workbookViewId="0">
      <selection activeCell="J12" sqref="J12"/>
    </sheetView>
  </sheetViews>
  <sheetFormatPr baseColWidth="10" defaultRowHeight="12.75" x14ac:dyDescent="0.2"/>
  <cols>
    <col min="1" max="1" width="2" customWidth="1"/>
    <col min="2" max="2" width="23.42578125" customWidth="1"/>
    <col min="3" max="6" width="14.85546875" customWidth="1"/>
    <col min="7" max="7" width="3.28515625" customWidth="1"/>
    <col min="8" max="8" width="14.42578125" bestFit="1" customWidth="1"/>
  </cols>
  <sheetData>
    <row r="3" spans="1:8" ht="15.75" x14ac:dyDescent="0.25">
      <c r="B3" s="194" t="s">
        <v>52</v>
      </c>
      <c r="C3" s="194"/>
      <c r="D3" s="194"/>
      <c r="E3" s="194"/>
      <c r="F3" s="194"/>
      <c r="H3" s="76" t="s">
        <v>31</v>
      </c>
    </row>
    <row r="4" spans="1:8" x14ac:dyDescent="0.2">
      <c r="H4" s="76" t="s">
        <v>32</v>
      </c>
    </row>
    <row r="5" spans="1:8" x14ac:dyDescent="0.2">
      <c r="B5" s="126" t="s">
        <v>28</v>
      </c>
      <c r="C5" s="195" t="s">
        <v>133</v>
      </c>
      <c r="D5" s="195"/>
      <c r="E5" s="195"/>
      <c r="F5" s="196"/>
      <c r="H5" s="76" t="s">
        <v>33</v>
      </c>
    </row>
    <row r="6" spans="1:8" x14ac:dyDescent="0.2">
      <c r="B6" s="124" t="s">
        <v>81</v>
      </c>
      <c r="C6" s="197">
        <v>952502664</v>
      </c>
      <c r="D6" s="197"/>
      <c r="E6" s="132" t="s">
        <v>82</v>
      </c>
      <c r="F6" s="79" t="s">
        <v>134</v>
      </c>
      <c r="H6" s="76" t="s">
        <v>34</v>
      </c>
    </row>
    <row r="7" spans="1:8" ht="15.75" x14ac:dyDescent="0.25">
      <c r="B7" s="77" t="s">
        <v>35</v>
      </c>
      <c r="C7" s="80">
        <v>35076</v>
      </c>
      <c r="D7" s="81" t="s">
        <v>36</v>
      </c>
      <c r="E7" s="82">
        <v>25</v>
      </c>
      <c r="F7" s="83"/>
      <c r="H7" s="76" t="s">
        <v>37</v>
      </c>
    </row>
    <row r="8" spans="1:8" x14ac:dyDescent="0.2">
      <c r="B8" s="77" t="s">
        <v>38</v>
      </c>
      <c r="C8" s="67" t="s">
        <v>32</v>
      </c>
      <c r="D8" s="84" t="s">
        <v>39</v>
      </c>
      <c r="E8" s="85">
        <v>1</v>
      </c>
      <c r="F8" s="86"/>
    </row>
    <row r="9" spans="1:8" x14ac:dyDescent="0.2">
      <c r="B9" s="58"/>
      <c r="C9" s="87"/>
      <c r="D9" s="88"/>
      <c r="E9" s="89"/>
      <c r="F9" s="54"/>
    </row>
    <row r="10" spans="1:8" x14ac:dyDescent="0.2">
      <c r="B10" s="198" t="s">
        <v>40</v>
      </c>
      <c r="C10" s="198"/>
      <c r="D10" s="198"/>
      <c r="E10" s="198"/>
      <c r="F10" s="198"/>
    </row>
    <row r="11" spans="1:8" x14ac:dyDescent="0.2">
      <c r="B11" s="126" t="s">
        <v>83</v>
      </c>
      <c r="C11" s="195" t="s">
        <v>135</v>
      </c>
      <c r="D11" s="195"/>
      <c r="E11" s="195"/>
      <c r="F11" s="196"/>
    </row>
    <row r="12" spans="1:8" ht="14.25" customHeight="1" x14ac:dyDescent="0.2">
      <c r="A12" s="7"/>
      <c r="B12" s="128" t="s">
        <v>81</v>
      </c>
      <c r="C12" s="91">
        <v>1312605114</v>
      </c>
      <c r="D12" s="92" t="s">
        <v>35</v>
      </c>
      <c r="E12" s="78"/>
      <c r="F12" s="93">
        <v>32769</v>
      </c>
    </row>
    <row r="13" spans="1:8" ht="12.75" customHeight="1" x14ac:dyDescent="0.2">
      <c r="A13" s="7"/>
      <c r="B13" s="77" t="s">
        <v>38</v>
      </c>
      <c r="C13" s="67" t="s">
        <v>32</v>
      </c>
      <c r="E13" s="81" t="s">
        <v>36</v>
      </c>
      <c r="F13" s="79">
        <v>32</v>
      </c>
    </row>
    <row r="14" spans="1:8" x14ac:dyDescent="0.2">
      <c r="B14" s="58"/>
      <c r="C14" s="87"/>
      <c r="D14" s="88"/>
      <c r="E14" s="89"/>
      <c r="F14" s="54"/>
    </row>
    <row r="16" spans="1:8" x14ac:dyDescent="0.2">
      <c r="B16" s="199" t="s">
        <v>41</v>
      </c>
      <c r="C16" s="200"/>
      <c r="D16" s="200"/>
      <c r="E16" s="200"/>
      <c r="F16" s="200"/>
    </row>
    <row r="17" spans="2:6" x14ac:dyDescent="0.2">
      <c r="B17" s="125" t="s">
        <v>42</v>
      </c>
      <c r="C17" s="94"/>
      <c r="D17" s="94"/>
      <c r="E17" s="94"/>
      <c r="F17" s="95"/>
    </row>
    <row r="18" spans="2:6" x14ac:dyDescent="0.2">
      <c r="B18" s="185" t="s">
        <v>136</v>
      </c>
      <c r="C18" s="204"/>
      <c r="D18" s="204"/>
      <c r="E18" s="204"/>
      <c r="F18" s="205"/>
    </row>
    <row r="19" spans="2:6" x14ac:dyDescent="0.2">
      <c r="B19" s="185"/>
      <c r="C19" s="204"/>
      <c r="D19" s="204"/>
      <c r="E19" s="204"/>
      <c r="F19" s="205"/>
    </row>
    <row r="20" spans="2:6" x14ac:dyDescent="0.2">
      <c r="B20" s="206"/>
      <c r="C20" s="207"/>
      <c r="D20" s="207"/>
      <c r="E20" s="207"/>
      <c r="F20" s="208"/>
    </row>
    <row r="22" spans="2:6" x14ac:dyDescent="0.2">
      <c r="B22" s="199" t="s">
        <v>43</v>
      </c>
      <c r="C22" s="200"/>
      <c r="D22" s="200"/>
      <c r="E22" s="200"/>
      <c r="F22" s="200"/>
    </row>
    <row r="23" spans="2:6" x14ac:dyDescent="0.2">
      <c r="B23" s="125" t="s">
        <v>42</v>
      </c>
      <c r="C23" s="120"/>
      <c r="D23" s="94"/>
      <c r="E23" s="94"/>
      <c r="F23" s="95"/>
    </row>
    <row r="24" spans="2:6" x14ac:dyDescent="0.2">
      <c r="B24" s="185" t="s">
        <v>147</v>
      </c>
      <c r="C24" s="204"/>
      <c r="D24" s="204"/>
      <c r="E24" s="204"/>
      <c r="F24" s="205"/>
    </row>
    <row r="25" spans="2:6" x14ac:dyDescent="0.2">
      <c r="B25" s="185"/>
      <c r="C25" s="204"/>
      <c r="D25" s="204"/>
      <c r="E25" s="204"/>
      <c r="F25" s="205"/>
    </row>
    <row r="26" spans="2:6" x14ac:dyDescent="0.2">
      <c r="B26" s="185"/>
      <c r="C26" s="204"/>
      <c r="D26" s="204"/>
      <c r="E26" s="204"/>
      <c r="F26" s="205"/>
    </row>
    <row r="27" spans="2:6" x14ac:dyDescent="0.2">
      <c r="B27" s="185"/>
      <c r="C27" s="204"/>
      <c r="D27" s="204"/>
      <c r="E27" s="204"/>
      <c r="F27" s="205"/>
    </row>
    <row r="28" spans="2:6" x14ac:dyDescent="0.2">
      <c r="B28" s="206"/>
      <c r="C28" s="207"/>
      <c r="D28" s="207"/>
      <c r="E28" s="207"/>
      <c r="F28" s="208"/>
    </row>
    <row r="30" spans="2:6" x14ac:dyDescent="0.2">
      <c r="B30" s="199" t="s">
        <v>44</v>
      </c>
      <c r="C30" s="200"/>
      <c r="D30" s="200"/>
      <c r="E30" s="200"/>
      <c r="F30" s="200"/>
    </row>
    <row r="31" spans="2:6" x14ac:dyDescent="0.2">
      <c r="B31" s="119" t="s">
        <v>120</v>
      </c>
      <c r="C31" s="127">
        <v>744.85</v>
      </c>
      <c r="D31" s="156" t="s">
        <v>121</v>
      </c>
      <c r="E31" s="160" t="s">
        <v>137</v>
      </c>
      <c r="F31" s="159"/>
    </row>
    <row r="32" spans="2:6" x14ac:dyDescent="0.2">
      <c r="B32" s="77" t="s">
        <v>45</v>
      </c>
      <c r="C32" s="157">
        <v>9569.75</v>
      </c>
      <c r="D32" s="84" t="s">
        <v>46</v>
      </c>
      <c r="E32" s="167" t="s">
        <v>138</v>
      </c>
      <c r="F32" s="158"/>
    </row>
    <row r="33" spans="2:6" x14ac:dyDescent="0.2">
      <c r="B33" s="77" t="s">
        <v>47</v>
      </c>
      <c r="C33" s="150">
        <v>0</v>
      </c>
      <c r="D33" s="84" t="s">
        <v>46</v>
      </c>
      <c r="E33" s="153"/>
      <c r="F33" s="100"/>
    </row>
    <row r="34" spans="2:6" x14ac:dyDescent="0.2">
      <c r="B34" s="124" t="s">
        <v>84</v>
      </c>
      <c r="C34" s="101">
        <v>0</v>
      </c>
      <c r="D34" s="90" t="s">
        <v>48</v>
      </c>
      <c r="E34" s="151"/>
      <c r="F34" s="102"/>
    </row>
    <row r="35" spans="2:6" x14ac:dyDescent="0.2">
      <c r="B35" s="124" t="s">
        <v>53</v>
      </c>
      <c r="C35" s="161">
        <v>3000</v>
      </c>
      <c r="D35" s="128"/>
      <c r="E35" s="152"/>
      <c r="F35" s="162"/>
    </row>
    <row r="36" spans="2:6" x14ac:dyDescent="0.2">
      <c r="B36" s="163" t="s">
        <v>122</v>
      </c>
      <c r="C36" s="149"/>
      <c r="D36" s="164" t="s">
        <v>123</v>
      </c>
      <c r="E36" s="165"/>
      <c r="F36" s="166">
        <f>SUM(C31:C36)</f>
        <v>13314.6</v>
      </c>
    </row>
    <row r="37" spans="2:6" x14ac:dyDescent="0.2">
      <c r="B37" s="90"/>
      <c r="C37" s="103"/>
      <c r="D37" s="90"/>
      <c r="E37" s="97"/>
      <c r="F37" s="104"/>
    </row>
    <row r="38" spans="2:6" x14ac:dyDescent="0.2">
      <c r="B38" s="199" t="s">
        <v>49</v>
      </c>
      <c r="C38" s="200"/>
      <c r="D38" s="200"/>
      <c r="E38" s="200"/>
      <c r="F38" s="200"/>
    </row>
    <row r="39" spans="2:6" x14ac:dyDescent="0.2">
      <c r="B39" s="119" t="s">
        <v>85</v>
      </c>
      <c r="C39" s="94"/>
      <c r="D39" s="94"/>
      <c r="E39" s="120" t="s">
        <v>76</v>
      </c>
      <c r="F39" s="129">
        <v>607</v>
      </c>
    </row>
    <row r="40" spans="2:6" x14ac:dyDescent="0.2">
      <c r="B40" s="124" t="s">
        <v>86</v>
      </c>
      <c r="C40" s="96"/>
      <c r="D40" s="90"/>
      <c r="E40" s="130" t="s">
        <v>77</v>
      </c>
      <c r="F40" s="98" t="s">
        <v>78</v>
      </c>
    </row>
    <row r="41" spans="2:6" x14ac:dyDescent="0.2">
      <c r="B41" s="77" t="s">
        <v>50</v>
      </c>
      <c r="C41" s="99"/>
      <c r="D41" s="69"/>
      <c r="E41" s="130" t="s">
        <v>77</v>
      </c>
      <c r="F41" s="64" t="s">
        <v>79</v>
      </c>
    </row>
    <row r="42" spans="2:6" x14ac:dyDescent="0.2">
      <c r="B42" s="124" t="s">
        <v>141</v>
      </c>
      <c r="C42" s="99"/>
      <c r="D42" s="69"/>
      <c r="E42" s="130" t="s">
        <v>77</v>
      </c>
      <c r="F42" s="64" t="s">
        <v>78</v>
      </c>
    </row>
    <row r="43" spans="2:6" x14ac:dyDescent="0.2">
      <c r="B43" s="163" t="s">
        <v>142</v>
      </c>
      <c r="C43" s="87"/>
      <c r="D43" s="88"/>
      <c r="E43" s="131" t="s">
        <v>77</v>
      </c>
      <c r="F43" s="181" t="s">
        <v>78</v>
      </c>
    </row>
    <row r="45" spans="2:6" x14ac:dyDescent="0.2">
      <c r="B45" s="199" t="s">
        <v>51</v>
      </c>
      <c r="C45" s="200"/>
      <c r="D45" s="200"/>
      <c r="E45" s="200"/>
      <c r="F45" s="200"/>
    </row>
    <row r="46" spans="2:6" x14ac:dyDescent="0.2">
      <c r="B46" s="182" t="s">
        <v>146</v>
      </c>
      <c r="C46" s="183"/>
      <c r="D46" s="183"/>
      <c r="E46" s="183"/>
      <c r="F46" s="184"/>
    </row>
    <row r="47" spans="2:6" x14ac:dyDescent="0.2">
      <c r="B47" s="185"/>
      <c r="C47" s="186"/>
      <c r="D47" s="186"/>
      <c r="E47" s="186"/>
      <c r="F47" s="187"/>
    </row>
    <row r="48" spans="2:6" x14ac:dyDescent="0.2">
      <c r="B48" s="185"/>
      <c r="C48" s="186"/>
      <c r="D48" s="186"/>
      <c r="E48" s="186"/>
      <c r="F48" s="187"/>
    </row>
    <row r="49" spans="2:11" x14ac:dyDescent="0.2">
      <c r="B49" s="185"/>
      <c r="C49" s="186"/>
      <c r="D49" s="186"/>
      <c r="E49" s="186"/>
      <c r="F49" s="187"/>
      <c r="K49" s="154"/>
    </row>
    <row r="50" spans="2:11" x14ac:dyDescent="0.2">
      <c r="B50" s="185"/>
      <c r="C50" s="186"/>
      <c r="D50" s="186"/>
      <c r="E50" s="186"/>
      <c r="F50" s="187"/>
    </row>
    <row r="51" spans="2:11" x14ac:dyDescent="0.2">
      <c r="B51" s="188"/>
      <c r="C51" s="186"/>
      <c r="D51" s="186"/>
      <c r="E51" s="186"/>
      <c r="F51" s="187"/>
    </row>
    <row r="52" spans="2:11" x14ac:dyDescent="0.2">
      <c r="B52" s="188"/>
      <c r="C52" s="186"/>
      <c r="D52" s="186"/>
      <c r="E52" s="186"/>
      <c r="F52" s="187"/>
    </row>
    <row r="53" spans="2:11" x14ac:dyDescent="0.2">
      <c r="B53" s="189"/>
      <c r="C53" s="190"/>
      <c r="D53" s="190"/>
      <c r="E53" s="190"/>
      <c r="F53" s="191"/>
    </row>
    <row r="54" spans="2:11" x14ac:dyDescent="0.2">
      <c r="F54" s="105" t="s">
        <v>80</v>
      </c>
    </row>
    <row r="56" spans="2:11" x14ac:dyDescent="0.2">
      <c r="B56" s="201" t="s">
        <v>3</v>
      </c>
      <c r="C56" s="202"/>
      <c r="D56" s="202"/>
      <c r="E56" s="202"/>
      <c r="F56" s="203"/>
    </row>
    <row r="57" spans="2:11" ht="15.75" x14ac:dyDescent="0.25">
      <c r="B57" s="16"/>
      <c r="C57" s="16"/>
      <c r="D57" s="15"/>
      <c r="E57" s="14"/>
      <c r="F57" s="13"/>
    </row>
    <row r="58" spans="2:11" ht="15.75" x14ac:dyDescent="0.25">
      <c r="B58" s="8"/>
      <c r="C58" s="8"/>
      <c r="D58" s="7"/>
      <c r="E58" s="12"/>
      <c r="F58" s="11"/>
    </row>
    <row r="59" spans="2:11" ht="15.75" x14ac:dyDescent="0.25">
      <c r="B59" s="6"/>
      <c r="C59" s="6"/>
      <c r="D59" s="3"/>
      <c r="E59" s="10"/>
      <c r="F59" s="9"/>
    </row>
    <row r="60" spans="2:11" x14ac:dyDescent="0.2">
      <c r="B60" s="110" t="s">
        <v>1</v>
      </c>
      <c r="C60" s="192" t="s">
        <v>130</v>
      </c>
      <c r="D60" s="193"/>
      <c r="E60" s="192" t="s">
        <v>143</v>
      </c>
      <c r="F60" s="193"/>
    </row>
    <row r="61" spans="2:11" x14ac:dyDescent="0.2">
      <c r="B61" t="s">
        <v>145</v>
      </c>
    </row>
  </sheetData>
  <mergeCells count="16">
    <mergeCell ref="B46:F53"/>
    <mergeCell ref="C60:D60"/>
    <mergeCell ref="E60:F60"/>
    <mergeCell ref="B3:F3"/>
    <mergeCell ref="C5:F5"/>
    <mergeCell ref="C6:D6"/>
    <mergeCell ref="B10:F10"/>
    <mergeCell ref="C11:F11"/>
    <mergeCell ref="B16:F16"/>
    <mergeCell ref="B22:F22"/>
    <mergeCell ref="B30:F30"/>
    <mergeCell ref="B38:F38"/>
    <mergeCell ref="B45:F45"/>
    <mergeCell ref="B56:F56"/>
    <mergeCell ref="B18:F20"/>
    <mergeCell ref="B24:F28"/>
  </mergeCells>
  <dataValidations count="1">
    <dataValidation type="list" allowBlank="1" showInputMessage="1" showErrorMessage="1" sqref="C13 C8">
      <formula1>$H$3:$H$7</formula1>
    </dataValidation>
  </dataValidations>
  <pageMargins left="0.70866141732283472" right="0.70866141732283472" top="0.35433070866141736" bottom="0.35433070866141736" header="0.31496062992125984" footer="0.31496062992125984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1"/>
  <sheetViews>
    <sheetView showGridLines="0" topLeftCell="A28" workbookViewId="0">
      <selection activeCell="H41" sqref="H41"/>
    </sheetView>
  </sheetViews>
  <sheetFormatPr baseColWidth="10" defaultRowHeight="15.75" x14ac:dyDescent="0.25"/>
  <cols>
    <col min="1" max="1" width="4.140625" customWidth="1"/>
    <col min="2" max="2" width="23.5703125" customWidth="1"/>
    <col min="3" max="4" width="13.85546875" customWidth="1"/>
    <col min="5" max="5" width="13.85546875" style="2" customWidth="1"/>
    <col min="6" max="6" width="14.140625" style="1" customWidth="1"/>
    <col min="7" max="7" width="5.140625" customWidth="1"/>
    <col min="9" max="9" width="16.140625" customWidth="1"/>
  </cols>
  <sheetData>
    <row r="2" spans="1:10" x14ac:dyDescent="0.25">
      <c r="A2" s="16"/>
      <c r="B2" s="42"/>
      <c r="C2" s="42"/>
      <c r="D2" s="42"/>
      <c r="E2" s="14"/>
      <c r="F2" s="75"/>
      <c r="G2" s="15"/>
    </row>
    <row r="3" spans="1:10" ht="21.75" customHeight="1" x14ac:dyDescent="0.2">
      <c r="A3" s="8"/>
      <c r="B3" s="23"/>
      <c r="C3" s="210" t="s">
        <v>30</v>
      </c>
      <c r="D3" s="210"/>
      <c r="E3" s="210"/>
      <c r="F3" s="210"/>
      <c r="G3" s="7"/>
    </row>
    <row r="4" spans="1:10" ht="19.5" customHeight="1" x14ac:dyDescent="0.2">
      <c r="A4" s="8"/>
      <c r="B4" s="23"/>
      <c r="C4" s="210"/>
      <c r="D4" s="210"/>
      <c r="E4" s="210"/>
      <c r="F4" s="210"/>
      <c r="G4" s="7"/>
    </row>
    <row r="5" spans="1:10" x14ac:dyDescent="0.25">
      <c r="A5" s="8"/>
      <c r="B5" s="23"/>
      <c r="C5" s="23"/>
      <c r="D5" s="23"/>
      <c r="E5" s="12"/>
      <c r="F5" s="22"/>
      <c r="G5" s="7"/>
    </row>
    <row r="6" spans="1:10" x14ac:dyDescent="0.25">
      <c r="A6" s="8"/>
      <c r="B6" s="74"/>
      <c r="C6" s="74"/>
      <c r="D6" s="74"/>
      <c r="E6" s="73"/>
      <c r="F6" s="72" t="s">
        <v>29</v>
      </c>
      <c r="G6" s="7"/>
    </row>
    <row r="7" spans="1:10" s="52" customFormat="1" x14ac:dyDescent="0.25">
      <c r="A7" s="59"/>
      <c r="B7" s="69"/>
      <c r="C7" s="69"/>
      <c r="D7" s="69"/>
      <c r="E7" s="61"/>
      <c r="F7" s="71"/>
      <c r="G7" s="53"/>
    </row>
    <row r="8" spans="1:10" s="52" customFormat="1" ht="15.75" customHeight="1" x14ac:dyDescent="0.2">
      <c r="A8" s="59"/>
      <c r="B8" s="70" t="s">
        <v>28</v>
      </c>
      <c r="C8" s="212" t="s">
        <v>133</v>
      </c>
      <c r="D8" s="213"/>
      <c r="E8" s="213"/>
      <c r="F8" s="214"/>
      <c r="G8" s="53"/>
    </row>
    <row r="9" spans="1:10" s="52" customFormat="1" ht="12.75" x14ac:dyDescent="0.2">
      <c r="A9" s="59"/>
      <c r="B9" s="63" t="s">
        <v>27</v>
      </c>
      <c r="C9" s="211">
        <v>952502664</v>
      </c>
      <c r="D9" s="211"/>
      <c r="E9" s="66" t="s">
        <v>26</v>
      </c>
      <c r="F9" s="106" t="s">
        <v>134</v>
      </c>
      <c r="G9" s="53"/>
    </row>
    <row r="10" spans="1:10" s="52" customFormat="1" x14ac:dyDescent="0.25">
      <c r="A10" s="59"/>
      <c r="B10" s="59"/>
      <c r="C10" s="69"/>
      <c r="D10" s="69"/>
      <c r="E10" s="61"/>
      <c r="F10" s="68"/>
      <c r="G10" s="53"/>
    </row>
    <row r="11" spans="1:10" s="52" customFormat="1" ht="12.75" x14ac:dyDescent="0.2">
      <c r="A11" s="59"/>
      <c r="B11" s="63" t="s">
        <v>25</v>
      </c>
      <c r="C11" s="67">
        <v>12000</v>
      </c>
      <c r="D11" s="66" t="s">
        <v>24</v>
      </c>
      <c r="E11" s="65" t="s">
        <v>23</v>
      </c>
      <c r="F11" s="64" t="s">
        <v>22</v>
      </c>
      <c r="G11" s="53"/>
    </row>
    <row r="12" spans="1:10" s="52" customFormat="1" ht="12.75" x14ac:dyDescent="0.2">
      <c r="A12" s="59"/>
      <c r="B12" s="63" t="s">
        <v>21</v>
      </c>
      <c r="C12" s="62">
        <v>211.47</v>
      </c>
      <c r="D12" s="61">
        <v>72</v>
      </c>
      <c r="E12" s="107" t="s">
        <v>139</v>
      </c>
      <c r="F12" s="60">
        <v>44498</v>
      </c>
      <c r="G12" s="53"/>
    </row>
    <row r="13" spans="1:10" s="52" customFormat="1" ht="12.75" x14ac:dyDescent="0.2">
      <c r="A13" s="59"/>
      <c r="B13" s="58"/>
      <c r="C13" s="57"/>
      <c r="D13" s="56"/>
      <c r="E13" s="55"/>
      <c r="F13" s="54"/>
      <c r="G13" s="53"/>
    </row>
    <row r="14" spans="1:10" x14ac:dyDescent="0.25">
      <c r="A14" s="8"/>
      <c r="B14" s="23"/>
      <c r="C14" s="23"/>
      <c r="D14" s="23"/>
      <c r="E14" s="12"/>
      <c r="F14" s="22"/>
      <c r="G14" s="7"/>
      <c r="I14" s="121" t="s">
        <v>72</v>
      </c>
      <c r="J14" s="121" t="s">
        <v>63</v>
      </c>
    </row>
    <row r="15" spans="1:10" x14ac:dyDescent="0.25">
      <c r="A15" s="8"/>
      <c r="B15" s="16" t="s">
        <v>20</v>
      </c>
      <c r="C15" s="51">
        <f>C12*D12</f>
        <v>15225.84</v>
      </c>
      <c r="D15" s="50">
        <f>+D12</f>
        <v>72</v>
      </c>
      <c r="E15" s="49">
        <f>SUM(E16:E17)</f>
        <v>1</v>
      </c>
      <c r="F15" s="22"/>
      <c r="G15" s="7"/>
      <c r="I15" s="109" t="s">
        <v>62</v>
      </c>
      <c r="J15" s="121">
        <v>0</v>
      </c>
    </row>
    <row r="16" spans="1:10" x14ac:dyDescent="0.25">
      <c r="A16" s="8"/>
      <c r="B16" s="48" t="s">
        <v>19</v>
      </c>
      <c r="C16" s="29">
        <f>C12*D16</f>
        <v>6555.57</v>
      </c>
      <c r="D16" s="170">
        <v>31</v>
      </c>
      <c r="E16" s="172">
        <f>+C16/C15</f>
        <v>0.43055555555555552</v>
      </c>
      <c r="F16" s="171">
        <v>200</v>
      </c>
      <c r="G16" s="7"/>
      <c r="I16" s="109" t="s">
        <v>64</v>
      </c>
      <c r="J16" s="121">
        <v>100</v>
      </c>
    </row>
    <row r="17" spans="1:10" x14ac:dyDescent="0.25">
      <c r="A17" s="8"/>
      <c r="B17" s="46" t="s">
        <v>18</v>
      </c>
      <c r="C17" s="38">
        <f>+C15-C16</f>
        <v>8670.27</v>
      </c>
      <c r="D17" s="45">
        <f>+D15-D16</f>
        <v>41</v>
      </c>
      <c r="E17" s="44">
        <f>+C17/C15</f>
        <v>0.56944444444444442</v>
      </c>
      <c r="F17" s="22"/>
      <c r="G17" s="7"/>
      <c r="I17" s="109" t="s">
        <v>65</v>
      </c>
      <c r="J17" s="121">
        <v>200</v>
      </c>
    </row>
    <row r="18" spans="1:10" x14ac:dyDescent="0.25">
      <c r="A18" s="8"/>
      <c r="B18" s="23"/>
      <c r="C18" s="34"/>
      <c r="D18" s="23"/>
      <c r="E18" s="12"/>
      <c r="F18" s="22"/>
      <c r="G18" s="7"/>
      <c r="I18" s="109"/>
      <c r="J18" s="121"/>
    </row>
    <row r="19" spans="1:10" x14ac:dyDescent="0.25">
      <c r="A19" s="8"/>
      <c r="B19" s="43" t="s">
        <v>17</v>
      </c>
      <c r="C19" s="173">
        <v>12000</v>
      </c>
      <c r="D19" s="42"/>
      <c r="E19" s="41"/>
      <c r="F19" s="22"/>
      <c r="G19" s="7"/>
      <c r="I19" s="109" t="s">
        <v>66</v>
      </c>
      <c r="J19" s="121">
        <v>0</v>
      </c>
    </row>
    <row r="20" spans="1:10" x14ac:dyDescent="0.25">
      <c r="A20" s="8"/>
      <c r="B20" s="40" t="s">
        <v>16</v>
      </c>
      <c r="C20" s="29">
        <f>+C17</f>
        <v>8670.27</v>
      </c>
      <c r="D20" s="26"/>
      <c r="E20" s="39">
        <f>+C19/C20</f>
        <v>1.3840399433927661</v>
      </c>
      <c r="F20" s="171">
        <v>100</v>
      </c>
      <c r="G20" s="7"/>
      <c r="I20" s="109" t="s">
        <v>68</v>
      </c>
      <c r="J20" s="121">
        <v>100</v>
      </c>
    </row>
    <row r="21" spans="1:10" x14ac:dyDescent="0.25">
      <c r="A21" s="8"/>
      <c r="B21" s="6"/>
      <c r="C21" s="38"/>
      <c r="D21" s="5"/>
      <c r="E21" s="37"/>
      <c r="F21" s="22"/>
      <c r="G21" s="7"/>
      <c r="I21" s="109" t="s">
        <v>67</v>
      </c>
      <c r="J21" s="121">
        <v>200</v>
      </c>
    </row>
    <row r="22" spans="1:10" x14ac:dyDescent="0.25">
      <c r="A22" s="8"/>
      <c r="B22" s="23"/>
      <c r="C22" s="34"/>
      <c r="D22" s="23"/>
      <c r="E22" s="12"/>
      <c r="F22" s="22"/>
      <c r="G22" s="7"/>
      <c r="I22" s="109"/>
      <c r="J22" s="121"/>
    </row>
    <row r="23" spans="1:10" x14ac:dyDescent="0.25">
      <c r="A23" s="8"/>
      <c r="B23" s="111" t="s">
        <v>55</v>
      </c>
      <c r="C23" s="174">
        <v>2000</v>
      </c>
      <c r="D23" s="116">
        <v>1</v>
      </c>
      <c r="E23" s="41" t="s">
        <v>58</v>
      </c>
      <c r="F23" s="22"/>
      <c r="G23" s="7"/>
      <c r="I23" s="109" t="s">
        <v>69</v>
      </c>
      <c r="J23" s="121">
        <v>200</v>
      </c>
    </row>
    <row r="24" spans="1:10" x14ac:dyDescent="0.25">
      <c r="A24" s="8"/>
      <c r="B24" s="112" t="s">
        <v>56</v>
      </c>
      <c r="C24" s="113">
        <f>+C23*0.7</f>
        <v>1400</v>
      </c>
      <c r="D24" s="115">
        <f>+C24/C23</f>
        <v>0.7</v>
      </c>
      <c r="E24" s="2" t="s">
        <v>61</v>
      </c>
      <c r="F24" s="171">
        <v>200</v>
      </c>
      <c r="G24" s="7"/>
      <c r="I24" s="109" t="s">
        <v>70</v>
      </c>
      <c r="J24" s="121">
        <v>100</v>
      </c>
    </row>
    <row r="25" spans="1:10" x14ac:dyDescent="0.25">
      <c r="A25" s="8"/>
      <c r="B25" s="117" t="s">
        <v>57</v>
      </c>
      <c r="C25" s="118">
        <f>+C23-C24</f>
        <v>600</v>
      </c>
      <c r="D25" s="114">
        <f>+D23-D24</f>
        <v>0.30000000000000004</v>
      </c>
      <c r="E25" s="175">
        <f>+C12/C23</f>
        <v>0.105735</v>
      </c>
      <c r="F25" s="22"/>
      <c r="G25" s="7"/>
      <c r="I25" s="109" t="s">
        <v>71</v>
      </c>
      <c r="J25" s="121">
        <v>0</v>
      </c>
    </row>
    <row r="26" spans="1:10" x14ac:dyDescent="0.25">
      <c r="A26" s="8"/>
      <c r="B26" s="23"/>
      <c r="C26" s="34"/>
      <c r="D26" s="23"/>
      <c r="E26" s="12"/>
      <c r="F26" s="22"/>
      <c r="G26" s="7"/>
      <c r="I26" s="109"/>
      <c r="J26" s="121"/>
    </row>
    <row r="27" spans="1:10" x14ac:dyDescent="0.25">
      <c r="A27" s="8"/>
      <c r="B27" s="33" t="s">
        <v>15</v>
      </c>
      <c r="C27" s="36"/>
      <c r="D27" s="32"/>
      <c r="E27" s="176">
        <v>607</v>
      </c>
      <c r="F27" s="30">
        <f>IF(E27&gt;=800,200,IF(E27&gt;=500,100,0))</f>
        <v>100</v>
      </c>
      <c r="G27" s="7"/>
      <c r="I27" s="109"/>
      <c r="J27" s="121"/>
    </row>
    <row r="28" spans="1:10" x14ac:dyDescent="0.25">
      <c r="A28" s="8"/>
      <c r="B28" s="23"/>
      <c r="C28" s="34"/>
      <c r="D28" s="23"/>
      <c r="E28" s="12"/>
      <c r="F28" s="22"/>
      <c r="G28" s="7"/>
      <c r="I28" s="109"/>
      <c r="J28" s="121"/>
    </row>
    <row r="29" spans="1:10" x14ac:dyDescent="0.25">
      <c r="A29" s="8"/>
      <c r="B29" s="33" t="s">
        <v>14</v>
      </c>
      <c r="C29" s="36"/>
      <c r="D29" s="32"/>
      <c r="E29" s="35">
        <v>4</v>
      </c>
      <c r="F29" s="30">
        <f>IF(E29&gt;=2,200,IF(E29&gt;=1,100,0))</f>
        <v>200</v>
      </c>
      <c r="G29" s="7"/>
      <c r="I29" s="109" t="s">
        <v>73</v>
      </c>
      <c r="J29" s="121">
        <v>100</v>
      </c>
    </row>
    <row r="30" spans="1:10" x14ac:dyDescent="0.25">
      <c r="A30" s="8"/>
      <c r="B30" s="23"/>
      <c r="C30" s="34"/>
      <c r="D30" s="23"/>
      <c r="E30" s="12"/>
      <c r="F30" s="22"/>
      <c r="G30" s="7"/>
      <c r="I30" s="109" t="s">
        <v>74</v>
      </c>
      <c r="J30" s="121">
        <v>200</v>
      </c>
    </row>
    <row r="31" spans="1:10" x14ac:dyDescent="0.25">
      <c r="A31" s="8"/>
      <c r="B31" s="33" t="s">
        <v>13</v>
      </c>
      <c r="C31" s="31" t="s">
        <v>12</v>
      </c>
      <c r="D31" s="108" t="s">
        <v>75</v>
      </c>
      <c r="E31" s="31"/>
      <c r="F31" s="30">
        <f>+D32+D33+D34+D35+D36</f>
        <v>225</v>
      </c>
      <c r="G31" s="7"/>
      <c r="I31" s="109"/>
      <c r="J31" s="122"/>
    </row>
    <row r="32" spans="1:10" x14ac:dyDescent="0.25">
      <c r="A32" s="8"/>
      <c r="B32" s="29" t="s">
        <v>11</v>
      </c>
      <c r="C32" s="177" t="s">
        <v>140</v>
      </c>
      <c r="D32" s="27">
        <f>IF(C32="Si",200,0)</f>
        <v>200</v>
      </c>
      <c r="E32" s="12"/>
      <c r="F32" s="22"/>
      <c r="G32" s="7"/>
      <c r="I32" s="109"/>
      <c r="J32" s="122"/>
    </row>
    <row r="33" spans="1:7" x14ac:dyDescent="0.25">
      <c r="A33" s="8"/>
      <c r="B33" s="26" t="s">
        <v>10</v>
      </c>
      <c r="C33" s="177" t="s">
        <v>78</v>
      </c>
      <c r="D33" s="27">
        <f>IF(C33="Si",150,0)</f>
        <v>0</v>
      </c>
      <c r="E33" s="12"/>
      <c r="F33" s="22"/>
      <c r="G33" s="7"/>
    </row>
    <row r="34" spans="1:7" x14ac:dyDescent="0.25">
      <c r="A34" s="8"/>
      <c r="B34" s="29" t="s">
        <v>9</v>
      </c>
      <c r="C34" s="177" t="s">
        <v>78</v>
      </c>
      <c r="D34" s="27">
        <f>IF(C34="Si",100,0)</f>
        <v>0</v>
      </c>
      <c r="E34" s="12"/>
      <c r="F34" s="22"/>
      <c r="G34" s="7"/>
    </row>
    <row r="35" spans="1:7" x14ac:dyDescent="0.25">
      <c r="A35" s="8"/>
      <c r="B35" s="29" t="s">
        <v>8</v>
      </c>
      <c r="C35" s="177" t="s">
        <v>78</v>
      </c>
      <c r="D35" s="27">
        <f>IF(C35="Si",50,0)</f>
        <v>0</v>
      </c>
      <c r="E35" s="12"/>
      <c r="F35" s="22"/>
      <c r="G35" s="7"/>
    </row>
    <row r="36" spans="1:7" x14ac:dyDescent="0.25">
      <c r="A36" s="8"/>
      <c r="B36" s="26" t="s">
        <v>53</v>
      </c>
      <c r="C36" s="177" t="s">
        <v>140</v>
      </c>
      <c r="D36" s="27">
        <f>IF(C36="Si",25,0)</f>
        <v>25</v>
      </c>
      <c r="E36" s="12"/>
      <c r="F36" s="22"/>
      <c r="G36" s="7"/>
    </row>
    <row r="37" spans="1:7" x14ac:dyDescent="0.25">
      <c r="A37" s="8"/>
      <c r="B37" s="26"/>
      <c r="C37" s="28"/>
      <c r="D37" s="27"/>
      <c r="E37" s="12"/>
      <c r="F37" s="22"/>
      <c r="G37" s="7"/>
    </row>
    <row r="38" spans="1:7" x14ac:dyDescent="0.25">
      <c r="A38" s="8"/>
      <c r="B38" s="215" t="s">
        <v>7</v>
      </c>
      <c r="C38" s="215"/>
      <c r="D38" s="215"/>
      <c r="E38" s="215"/>
      <c r="F38" s="178">
        <f>+F16+F20+F24+F27+F29+F31</f>
        <v>1025</v>
      </c>
      <c r="G38" s="7"/>
    </row>
    <row r="39" spans="1:7" x14ac:dyDescent="0.25">
      <c r="A39" s="8"/>
      <c r="B39" s="25" t="s">
        <v>6</v>
      </c>
      <c r="C39" s="23"/>
      <c r="D39" s="23"/>
      <c r="E39" s="123" t="s">
        <v>59</v>
      </c>
      <c r="F39" s="22"/>
      <c r="G39" s="7"/>
    </row>
    <row r="40" spans="1:7" x14ac:dyDescent="0.25">
      <c r="A40" s="8"/>
      <c r="B40" s="25" t="s">
        <v>5</v>
      </c>
      <c r="C40" s="23"/>
      <c r="D40" s="23"/>
      <c r="E40" s="123" t="s">
        <v>60</v>
      </c>
      <c r="F40" s="22"/>
      <c r="G40" s="7"/>
    </row>
    <row r="41" spans="1:7" x14ac:dyDescent="0.25">
      <c r="A41" s="8"/>
      <c r="B41" s="25"/>
      <c r="C41" s="23"/>
      <c r="D41" s="23"/>
      <c r="E41" s="24"/>
      <c r="F41" s="22"/>
      <c r="G41" s="7"/>
    </row>
    <row r="42" spans="1:7" x14ac:dyDescent="0.25">
      <c r="A42" s="8"/>
      <c r="B42" s="23"/>
      <c r="C42" s="23"/>
      <c r="D42" s="23"/>
      <c r="E42" s="12"/>
      <c r="F42" s="22"/>
      <c r="G42" s="7"/>
    </row>
    <row r="43" spans="1:7" x14ac:dyDescent="0.25">
      <c r="A43" s="8"/>
      <c r="B43" s="21" t="s">
        <v>4</v>
      </c>
      <c r="C43" s="5"/>
      <c r="D43" s="5"/>
      <c r="E43" s="10"/>
      <c r="F43" s="20"/>
      <c r="G43" s="7"/>
    </row>
    <row r="44" spans="1:7" x14ac:dyDescent="0.25">
      <c r="A44" s="8"/>
      <c r="B44" s="19" t="s">
        <v>144</v>
      </c>
      <c r="C44" s="19"/>
      <c r="D44" s="19"/>
      <c r="E44" s="18"/>
      <c r="F44" s="17"/>
      <c r="G44" s="7"/>
    </row>
    <row r="45" spans="1:7" ht="15.75" customHeight="1" x14ac:dyDescent="0.25">
      <c r="A45" s="8"/>
      <c r="G45" s="7"/>
    </row>
    <row r="46" spans="1:7" ht="14.25" customHeight="1" x14ac:dyDescent="0.2">
      <c r="A46" s="8"/>
      <c r="B46" s="201" t="s">
        <v>3</v>
      </c>
      <c r="C46" s="202"/>
      <c r="D46" s="202"/>
      <c r="E46" s="202"/>
      <c r="F46" s="203"/>
      <c r="G46" s="7"/>
    </row>
    <row r="47" spans="1:7" x14ac:dyDescent="0.25">
      <c r="A47" s="8"/>
      <c r="B47" s="16"/>
      <c r="C47" s="16"/>
      <c r="D47" s="15"/>
      <c r="E47" s="14"/>
      <c r="F47" s="13"/>
      <c r="G47" s="7"/>
    </row>
    <row r="48" spans="1:7" x14ac:dyDescent="0.25">
      <c r="A48" s="8"/>
      <c r="B48" s="8"/>
      <c r="C48" s="8"/>
      <c r="D48" s="7"/>
      <c r="E48" s="12"/>
      <c r="F48" s="11"/>
      <c r="G48" s="7"/>
    </row>
    <row r="49" spans="1:7" ht="15.75" customHeight="1" x14ac:dyDescent="0.25">
      <c r="A49" s="8"/>
      <c r="B49" s="6"/>
      <c r="C49" s="6"/>
      <c r="D49" s="3"/>
      <c r="E49" s="10"/>
      <c r="F49" s="9"/>
      <c r="G49" s="7"/>
    </row>
    <row r="50" spans="1:7" ht="15.75" customHeight="1" x14ac:dyDescent="0.2">
      <c r="A50" s="8"/>
      <c r="B50" s="110" t="s">
        <v>1</v>
      </c>
      <c r="C50" s="209" t="s">
        <v>2</v>
      </c>
      <c r="D50" s="193"/>
      <c r="E50" s="192" t="s">
        <v>143</v>
      </c>
      <c r="F50" s="193"/>
      <c r="G50" s="7"/>
    </row>
    <row r="51" spans="1:7" ht="12.75" x14ac:dyDescent="0.2">
      <c r="A51" s="6"/>
      <c r="B51" s="5"/>
      <c r="C51" s="5"/>
      <c r="D51" s="5"/>
      <c r="E51" s="4" t="s">
        <v>0</v>
      </c>
      <c r="F51" s="4"/>
      <c r="G51" s="3"/>
    </row>
  </sheetData>
  <mergeCells count="7">
    <mergeCell ref="C50:D50"/>
    <mergeCell ref="E50:F50"/>
    <mergeCell ref="C3:F4"/>
    <mergeCell ref="C9:D9"/>
    <mergeCell ref="C8:F8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1"/>
  <sheetViews>
    <sheetView topLeftCell="A13" workbookViewId="0">
      <selection activeCell="B25" sqref="B25"/>
    </sheetView>
  </sheetViews>
  <sheetFormatPr baseColWidth="10" defaultRowHeight="15.75" x14ac:dyDescent="0.25"/>
  <cols>
    <col min="1" max="1" width="4.140625" customWidth="1"/>
    <col min="2" max="2" width="23.5703125" customWidth="1"/>
    <col min="3" max="4" width="13.85546875" customWidth="1"/>
    <col min="5" max="5" width="13.85546875" style="109" customWidth="1"/>
    <col min="6" max="6" width="14.140625" style="1" customWidth="1"/>
    <col min="7" max="7" width="5.140625" customWidth="1"/>
    <col min="9" max="9" width="16.140625" customWidth="1"/>
  </cols>
  <sheetData>
    <row r="2" spans="1:14" x14ac:dyDescent="0.25">
      <c r="A2" s="16"/>
      <c r="B2" s="42"/>
      <c r="C2" s="42"/>
      <c r="D2" s="42"/>
      <c r="E2" s="14"/>
      <c r="F2" s="75"/>
      <c r="G2" s="15"/>
    </row>
    <row r="3" spans="1:14" ht="21.75" customHeight="1" x14ac:dyDescent="0.2">
      <c r="A3" s="8"/>
      <c r="B3" s="23"/>
      <c r="C3" s="210" t="s">
        <v>87</v>
      </c>
      <c r="D3" s="210"/>
      <c r="E3" s="210"/>
      <c r="F3" s="210"/>
      <c r="G3" s="7"/>
    </row>
    <row r="4" spans="1:14" ht="19.5" customHeight="1" x14ac:dyDescent="0.2">
      <c r="A4" s="8"/>
      <c r="B4" s="23"/>
      <c r="C4" s="210"/>
      <c r="D4" s="210"/>
      <c r="E4" s="210"/>
      <c r="F4" s="210"/>
      <c r="G4" s="7"/>
    </row>
    <row r="5" spans="1:14" x14ac:dyDescent="0.25">
      <c r="A5" s="8"/>
      <c r="B5" s="23"/>
      <c r="C5" s="23"/>
      <c r="D5" s="23"/>
      <c r="E5" s="12"/>
      <c r="F5" s="22"/>
      <c r="G5" s="7"/>
      <c r="N5" s="133"/>
    </row>
    <row r="6" spans="1:14" s="52" customFormat="1" ht="15.75" customHeight="1" x14ac:dyDescent="0.2">
      <c r="A6" s="59"/>
      <c r="B6" s="70" t="s">
        <v>28</v>
      </c>
      <c r="C6" s="212" t="str">
        <f>+Aprobacion!C8</f>
        <v>ROJAS DELGADO NOHELY ITALIA</v>
      </c>
      <c r="D6" s="213"/>
      <c r="E6" s="213"/>
      <c r="F6" s="214"/>
      <c r="G6" s="53"/>
    </row>
    <row r="7" spans="1:14" s="52" customFormat="1" ht="12.75" x14ac:dyDescent="0.2">
      <c r="A7" s="59"/>
      <c r="B7" s="63" t="s">
        <v>27</v>
      </c>
      <c r="C7" s="211">
        <f>+Aprobacion!C9</f>
        <v>952502664</v>
      </c>
      <c r="D7" s="211"/>
      <c r="E7" s="66" t="s">
        <v>26</v>
      </c>
      <c r="F7" s="106" t="str">
        <f>+Aprobacion!F9</f>
        <v>P001-11</v>
      </c>
      <c r="G7" s="53"/>
    </row>
    <row r="8" spans="1:14" s="52" customFormat="1" x14ac:dyDescent="0.25">
      <c r="A8" s="59"/>
      <c r="B8" s="59"/>
      <c r="C8" s="69"/>
      <c r="D8" s="69"/>
      <c r="E8" s="61"/>
      <c r="F8" s="68"/>
      <c r="G8" s="53"/>
    </row>
    <row r="9" spans="1:14" s="52" customFormat="1" ht="12.75" x14ac:dyDescent="0.2">
      <c r="A9" s="59"/>
      <c r="B9" s="63" t="s">
        <v>25</v>
      </c>
      <c r="C9" s="67">
        <f>+Aprobacion!C11</f>
        <v>12000</v>
      </c>
      <c r="D9" s="66" t="s">
        <v>24</v>
      </c>
      <c r="E9" s="65" t="s">
        <v>23</v>
      </c>
      <c r="F9" s="64" t="s">
        <v>22</v>
      </c>
      <c r="G9" s="53"/>
    </row>
    <row r="10" spans="1:14" s="52" customFormat="1" ht="12.75" x14ac:dyDescent="0.2">
      <c r="A10" s="59"/>
      <c r="B10" s="63" t="s">
        <v>21</v>
      </c>
      <c r="C10" s="62">
        <f>+Aprobacion!C12</f>
        <v>211.47</v>
      </c>
      <c r="D10" s="61">
        <f>+Aprobacion!D12</f>
        <v>72</v>
      </c>
      <c r="E10" s="107" t="str">
        <f>+Aprobacion!E12</f>
        <v>EVALUACION</v>
      </c>
      <c r="F10" s="60">
        <f>+Aprobacion!F12</f>
        <v>44498</v>
      </c>
      <c r="G10" s="53"/>
    </row>
    <row r="11" spans="1:14" s="52" customFormat="1" ht="12.75" x14ac:dyDescent="0.2">
      <c r="A11" s="59"/>
      <c r="B11" s="58"/>
      <c r="C11" s="57"/>
      <c r="D11" s="56"/>
      <c r="E11" s="55"/>
      <c r="F11" s="54"/>
      <c r="G11" s="53"/>
    </row>
    <row r="12" spans="1:14" x14ac:dyDescent="0.25">
      <c r="A12" s="8"/>
      <c r="B12" s="23"/>
      <c r="C12" s="23"/>
      <c r="D12" s="23"/>
      <c r="E12" s="12"/>
      <c r="F12" s="22"/>
      <c r="G12" s="7"/>
      <c r="I12" s="121"/>
      <c r="J12" s="121"/>
      <c r="L12" s="52"/>
      <c r="M12" s="52"/>
      <c r="N12" s="52"/>
    </row>
    <row r="13" spans="1:14" x14ac:dyDescent="0.25">
      <c r="A13" s="8"/>
      <c r="B13" s="16" t="s">
        <v>20</v>
      </c>
      <c r="C13" s="51">
        <f>+C10*D10</f>
        <v>15225.84</v>
      </c>
      <c r="D13" s="50">
        <f>+D10</f>
        <v>72</v>
      </c>
      <c r="E13" s="49">
        <f>SUM(E14:E15)</f>
        <v>1</v>
      </c>
      <c r="F13" s="22"/>
      <c r="G13" s="7"/>
      <c r="I13" s="109"/>
      <c r="J13" s="121"/>
      <c r="N13" s="52"/>
    </row>
    <row r="14" spans="1:14" x14ac:dyDescent="0.25">
      <c r="A14" s="8"/>
      <c r="B14" s="48" t="s">
        <v>19</v>
      </c>
      <c r="C14" s="29">
        <f>C10*D14</f>
        <v>6344.1</v>
      </c>
      <c r="D14" s="137">
        <v>30</v>
      </c>
      <c r="E14" s="47">
        <f>+C14/C13</f>
        <v>0.41666666666666669</v>
      </c>
      <c r="F14" s="30"/>
      <c r="G14" s="7"/>
      <c r="I14" s="109"/>
      <c r="J14" s="121"/>
      <c r="N14" s="52"/>
    </row>
    <row r="15" spans="1:14" x14ac:dyDescent="0.25">
      <c r="A15" s="8"/>
      <c r="B15" s="46" t="s">
        <v>18</v>
      </c>
      <c r="C15" s="38">
        <f>+C13-C14</f>
        <v>8881.74</v>
      </c>
      <c r="D15" s="45">
        <f>+D13-D14</f>
        <v>42</v>
      </c>
      <c r="E15" s="44">
        <f>+C15/C13</f>
        <v>0.58333333333333326</v>
      </c>
      <c r="F15" s="22"/>
      <c r="G15" s="7"/>
      <c r="I15" s="109"/>
      <c r="J15" s="121"/>
    </row>
    <row r="16" spans="1:14" x14ac:dyDescent="0.25">
      <c r="A16" s="8"/>
      <c r="B16" s="34"/>
      <c r="C16" s="34"/>
      <c r="D16" s="135"/>
      <c r="E16" s="136"/>
      <c r="F16" s="22"/>
      <c r="G16" s="7"/>
      <c r="I16" s="109"/>
      <c r="J16" s="121"/>
    </row>
    <row r="17" spans="1:10" x14ac:dyDescent="0.25">
      <c r="A17" s="8"/>
      <c r="B17" s="23"/>
      <c r="C17" s="34"/>
      <c r="D17" s="23"/>
      <c r="E17" s="12"/>
      <c r="F17" s="22"/>
      <c r="G17" s="7"/>
      <c r="I17" s="109"/>
      <c r="J17" s="121"/>
    </row>
    <row r="18" spans="1:10" x14ac:dyDescent="0.25">
      <c r="A18" s="8"/>
      <c r="B18" s="128" t="s">
        <v>92</v>
      </c>
      <c r="C18" s="23"/>
      <c r="D18" s="23"/>
      <c r="E18" s="24"/>
      <c r="F18" s="134">
        <f>+C9</f>
        <v>12000</v>
      </c>
      <c r="G18" s="7"/>
    </row>
    <row r="19" spans="1:10" x14ac:dyDescent="0.25">
      <c r="A19" s="8"/>
      <c r="B19" s="128" t="s">
        <v>93</v>
      </c>
      <c r="C19" s="23"/>
      <c r="D19" s="23"/>
      <c r="E19" s="24"/>
      <c r="F19" s="179">
        <v>10000</v>
      </c>
      <c r="G19" s="7"/>
    </row>
    <row r="20" spans="1:10" x14ac:dyDescent="0.25">
      <c r="A20" s="8"/>
      <c r="B20" s="128" t="str">
        <f>IF(F19&lt;F18,"SALDO A FAVOR APLICA A CUOTAS FINALES DEL PLAN","DIFERENCIA PAGA AL CONCESIONARIO")</f>
        <v>SALDO A FAVOR APLICA A CUOTAS FINALES DEL PLAN</v>
      </c>
      <c r="C20" s="23"/>
      <c r="D20" s="23"/>
      <c r="E20" s="24"/>
      <c r="F20" s="134">
        <f>+F19-F18</f>
        <v>-2000</v>
      </c>
      <c r="G20" s="7"/>
    </row>
    <row r="21" spans="1:10" x14ac:dyDescent="0.25">
      <c r="A21" s="8"/>
      <c r="B21" s="128"/>
      <c r="C21" s="23"/>
      <c r="D21" s="23"/>
      <c r="E21" s="24"/>
      <c r="F21" s="134"/>
      <c r="G21" s="7"/>
    </row>
    <row r="22" spans="1:10" x14ac:dyDescent="0.25">
      <c r="A22" s="8"/>
      <c r="B22" s="128" t="s">
        <v>94</v>
      </c>
      <c r="C22" s="23"/>
      <c r="D22" s="23"/>
      <c r="E22" s="24"/>
      <c r="F22" s="134">
        <f>IF(F18&lt;F19,F18,F19)</f>
        <v>10000</v>
      </c>
      <c r="G22" s="7"/>
    </row>
    <row r="23" spans="1:10" x14ac:dyDescent="0.25">
      <c r="A23" s="8"/>
      <c r="B23" s="128" t="s">
        <v>95</v>
      </c>
      <c r="C23" s="23"/>
      <c r="D23" s="23"/>
      <c r="E23" s="141"/>
      <c r="F23" s="134">
        <v>0</v>
      </c>
      <c r="G23" s="7"/>
    </row>
    <row r="24" spans="1:10" x14ac:dyDescent="0.25">
      <c r="A24" s="8"/>
      <c r="B24" s="128" t="s">
        <v>89</v>
      </c>
      <c r="C24" s="23"/>
      <c r="D24" s="23"/>
      <c r="E24" s="180">
        <v>0.02</v>
      </c>
      <c r="F24" s="134">
        <f>+F19*E24</f>
        <v>200</v>
      </c>
      <c r="G24" s="7"/>
    </row>
    <row r="25" spans="1:10" x14ac:dyDescent="0.25">
      <c r="A25" s="8"/>
      <c r="B25" s="128" t="s">
        <v>118</v>
      </c>
      <c r="C25" s="23"/>
      <c r="D25" s="23"/>
      <c r="E25" s="141"/>
      <c r="F25" s="134">
        <v>0</v>
      </c>
      <c r="G25" s="7"/>
    </row>
    <row r="26" spans="1:10" x14ac:dyDescent="0.25">
      <c r="A26" s="8"/>
      <c r="G26" s="7"/>
    </row>
    <row r="27" spans="1:10" x14ac:dyDescent="0.25">
      <c r="A27" s="8"/>
      <c r="B27" s="128" t="s">
        <v>88</v>
      </c>
      <c r="C27" s="23"/>
      <c r="D27" s="23"/>
      <c r="E27" s="24"/>
      <c r="F27" s="140">
        <f>SUM(F22-F24-F25-F23)</f>
        <v>9800</v>
      </c>
      <c r="G27" s="7"/>
    </row>
    <row r="28" spans="1:10" x14ac:dyDescent="0.25">
      <c r="A28" s="8"/>
      <c r="B28" s="128"/>
      <c r="C28" s="23"/>
      <c r="D28" s="23"/>
      <c r="E28" s="24"/>
      <c r="F28" s="134"/>
      <c r="G28" s="7"/>
    </row>
    <row r="29" spans="1:10" ht="15.75" customHeight="1" x14ac:dyDescent="0.2">
      <c r="A29" s="8"/>
      <c r="B29" s="221" t="s">
        <v>91</v>
      </c>
      <c r="C29" s="222"/>
      <c r="D29" s="217" t="s">
        <v>131</v>
      </c>
      <c r="E29" s="218"/>
      <c r="F29" s="219"/>
      <c r="G29" s="7"/>
    </row>
    <row r="30" spans="1:10" x14ac:dyDescent="0.25">
      <c r="A30" s="8"/>
      <c r="B30" s="128"/>
      <c r="C30" s="23"/>
      <c r="D30" s="23"/>
      <c r="E30" s="24"/>
      <c r="F30" s="134"/>
      <c r="G30" s="7"/>
    </row>
    <row r="31" spans="1:10" x14ac:dyDescent="0.25">
      <c r="A31" s="8"/>
      <c r="B31" s="23"/>
      <c r="C31" s="23"/>
      <c r="D31" s="23"/>
      <c r="E31" s="12"/>
      <c r="F31" s="22"/>
      <c r="G31" s="7"/>
    </row>
    <row r="32" spans="1:10" x14ac:dyDescent="0.25">
      <c r="A32" s="8"/>
      <c r="B32" s="21" t="s">
        <v>4</v>
      </c>
      <c r="C32" s="5"/>
      <c r="D32" s="5"/>
      <c r="E32" s="10"/>
      <c r="F32" s="20"/>
      <c r="G32" s="7"/>
    </row>
    <row r="33" spans="1:7" ht="68.25" customHeight="1" x14ac:dyDescent="0.2">
      <c r="A33" s="8"/>
      <c r="B33" s="220" t="s">
        <v>132</v>
      </c>
      <c r="C33" s="220"/>
      <c r="D33" s="220"/>
      <c r="E33" s="220"/>
      <c r="F33" s="220"/>
      <c r="G33" s="7"/>
    </row>
    <row r="34" spans="1:7" ht="15.75" customHeight="1" x14ac:dyDescent="0.25">
      <c r="A34" s="8"/>
      <c r="G34" s="7"/>
    </row>
    <row r="35" spans="1:7" ht="14.25" customHeight="1" x14ac:dyDescent="0.2">
      <c r="A35" s="8"/>
      <c r="B35" s="201" t="s">
        <v>3</v>
      </c>
      <c r="C35" s="202"/>
      <c r="D35" s="202"/>
      <c r="E35" s="202"/>
      <c r="F35" s="203"/>
      <c r="G35" s="7"/>
    </row>
    <row r="36" spans="1:7" x14ac:dyDescent="0.25">
      <c r="A36" s="8"/>
      <c r="B36" s="16"/>
      <c r="C36" s="16"/>
      <c r="D36" s="15"/>
      <c r="E36" s="14"/>
      <c r="F36" s="13"/>
      <c r="G36" s="7"/>
    </row>
    <row r="37" spans="1:7" x14ac:dyDescent="0.25">
      <c r="A37" s="8"/>
      <c r="B37" s="8"/>
      <c r="C37" s="8"/>
      <c r="D37" s="7"/>
      <c r="E37" s="12"/>
      <c r="F37" s="11"/>
      <c r="G37" s="7"/>
    </row>
    <row r="38" spans="1:7" ht="15.75" customHeight="1" x14ac:dyDescent="0.25">
      <c r="A38" s="8"/>
      <c r="B38" s="6"/>
      <c r="C38" s="6"/>
      <c r="D38" s="3"/>
      <c r="E38" s="10"/>
      <c r="F38" s="9"/>
      <c r="G38" s="7"/>
    </row>
    <row r="39" spans="1:7" ht="15.75" customHeight="1" x14ac:dyDescent="0.2">
      <c r="A39" s="8"/>
      <c r="B39" s="110" t="s">
        <v>54</v>
      </c>
      <c r="C39" s="209" t="s">
        <v>2</v>
      </c>
      <c r="D39" s="193"/>
      <c r="E39" s="209" t="s">
        <v>1</v>
      </c>
      <c r="F39" s="193"/>
      <c r="G39" s="7"/>
    </row>
    <row r="40" spans="1:7" ht="15.75" customHeight="1" x14ac:dyDescent="0.2">
      <c r="A40" s="8"/>
      <c r="B40" s="138" t="s">
        <v>90</v>
      </c>
      <c r="C40" s="216">
        <f ca="1">TODAY()</f>
        <v>44516</v>
      </c>
      <c r="D40" s="216"/>
      <c r="E40" s="216"/>
      <c r="F40" s="139"/>
      <c r="G40" s="7"/>
    </row>
    <row r="41" spans="1:7" ht="12.75" x14ac:dyDescent="0.2">
      <c r="A41" s="6"/>
      <c r="B41" s="5"/>
      <c r="C41" s="5"/>
      <c r="D41" s="5"/>
      <c r="E41" s="4" t="s">
        <v>96</v>
      </c>
      <c r="F41" s="4"/>
      <c r="G41" s="3"/>
    </row>
  </sheetData>
  <mergeCells count="10">
    <mergeCell ref="C40:E40"/>
    <mergeCell ref="C3:F4"/>
    <mergeCell ref="C6:F6"/>
    <mergeCell ref="C7:D7"/>
    <mergeCell ref="B35:F35"/>
    <mergeCell ref="C39:D39"/>
    <mergeCell ref="E39:F39"/>
    <mergeCell ref="D29:F29"/>
    <mergeCell ref="B33:F33"/>
    <mergeCell ref="B29:C2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51"/>
  <sheetViews>
    <sheetView topLeftCell="A27" workbookViewId="0">
      <selection activeCell="B58" sqref="B58"/>
    </sheetView>
  </sheetViews>
  <sheetFormatPr baseColWidth="10" defaultRowHeight="12.75" x14ac:dyDescent="0.2"/>
  <cols>
    <col min="1" max="1" width="5.7109375" customWidth="1"/>
    <col min="2" max="2" width="11.5703125" customWidth="1"/>
    <col min="3" max="3" width="14" customWidth="1"/>
  </cols>
  <sheetData>
    <row r="7" spans="2:7" x14ac:dyDescent="0.2">
      <c r="B7" t="s">
        <v>97</v>
      </c>
      <c r="C7" s="225">
        <f ca="1">TODAY()</f>
        <v>44516</v>
      </c>
      <c r="D7" s="225"/>
      <c r="E7" s="225"/>
    </row>
    <row r="11" spans="2:7" x14ac:dyDescent="0.2">
      <c r="B11" t="s">
        <v>98</v>
      </c>
    </row>
    <row r="12" spans="2:7" x14ac:dyDescent="0.2">
      <c r="B12" s="122" t="str">
        <f>+Liquidacion!D29</f>
        <v>AUTOMEKANO</v>
      </c>
    </row>
    <row r="13" spans="2:7" x14ac:dyDescent="0.2">
      <c r="B13" t="s">
        <v>99</v>
      </c>
    </row>
    <row r="15" spans="2:7" ht="20.25" customHeight="1" x14ac:dyDescent="0.2">
      <c r="B15" s="226" t="s">
        <v>100</v>
      </c>
      <c r="C15" s="226"/>
      <c r="D15" s="226"/>
      <c r="E15" s="226"/>
      <c r="F15" s="226"/>
    </row>
    <row r="16" spans="2:7" ht="30.75" customHeight="1" x14ac:dyDescent="0.2">
      <c r="B16" s="227" t="s">
        <v>101</v>
      </c>
      <c r="C16" s="227"/>
      <c r="D16" s="227"/>
      <c r="E16" s="227"/>
      <c r="F16" s="227"/>
      <c r="G16" s="227"/>
    </row>
    <row r="18" spans="2:7" x14ac:dyDescent="0.2">
      <c r="B18" t="s">
        <v>102</v>
      </c>
      <c r="D18" s="122" t="str">
        <f>+Liquidacion!C6</f>
        <v>ROJAS DELGADO NOHELY ITALIA</v>
      </c>
    </row>
    <row r="19" spans="2:7" x14ac:dyDescent="0.2">
      <c r="B19" t="s">
        <v>103</v>
      </c>
      <c r="D19" s="228">
        <f>+Liquidacion!C7</f>
        <v>952502664</v>
      </c>
      <c r="E19" s="228"/>
    </row>
    <row r="20" spans="2:7" ht="27" customHeight="1" x14ac:dyDescent="0.2">
      <c r="B20" s="168" t="s">
        <v>46</v>
      </c>
      <c r="D20" s="229" t="s">
        <v>126</v>
      </c>
      <c r="E20" s="229"/>
      <c r="F20" s="229"/>
      <c r="G20" s="229"/>
    </row>
    <row r="21" spans="2:7" x14ac:dyDescent="0.2">
      <c r="B21" t="s">
        <v>104</v>
      </c>
      <c r="D21" s="228" t="s">
        <v>127</v>
      </c>
      <c r="E21" s="228"/>
    </row>
    <row r="23" spans="2:7" x14ac:dyDescent="0.2">
      <c r="B23" s="224" t="s">
        <v>105</v>
      </c>
      <c r="C23" s="224"/>
      <c r="D23" s="224"/>
      <c r="E23" s="224"/>
      <c r="F23" s="224"/>
    </row>
    <row r="25" spans="2:7" x14ac:dyDescent="0.2">
      <c r="B25" t="s">
        <v>106</v>
      </c>
      <c r="D25" s="122" t="s">
        <v>124</v>
      </c>
    </row>
    <row r="26" spans="2:7" x14ac:dyDescent="0.2">
      <c r="B26" t="s">
        <v>107</v>
      </c>
      <c r="D26" s="122" t="s">
        <v>125</v>
      </c>
    </row>
    <row r="27" spans="2:7" x14ac:dyDescent="0.2">
      <c r="B27" t="s">
        <v>108</v>
      </c>
      <c r="D27" s="142">
        <v>2021</v>
      </c>
    </row>
    <row r="28" spans="2:7" x14ac:dyDescent="0.2">
      <c r="B28" t="s">
        <v>109</v>
      </c>
      <c r="D28" s="122" t="s">
        <v>128</v>
      </c>
    </row>
    <row r="30" spans="2:7" x14ac:dyDescent="0.2">
      <c r="B30" s="224" t="s">
        <v>110</v>
      </c>
      <c r="C30" s="224"/>
      <c r="D30" s="224"/>
      <c r="E30" s="224"/>
      <c r="F30" s="224"/>
    </row>
    <row r="31" spans="2:7" x14ac:dyDescent="0.2">
      <c r="D31" s="143"/>
    </row>
    <row r="32" spans="2:7" x14ac:dyDescent="0.2">
      <c r="B32" t="s">
        <v>93</v>
      </c>
      <c r="E32" s="143">
        <f>+Liquidacion!F19</f>
        <v>10000</v>
      </c>
    </row>
    <row r="33" spans="2:6" x14ac:dyDescent="0.2">
      <c r="B33" t="s">
        <v>111</v>
      </c>
      <c r="E33" s="145">
        <f>+Liquidacion!F27</f>
        <v>9800</v>
      </c>
    </row>
    <row r="34" spans="2:6" x14ac:dyDescent="0.2">
      <c r="B34" t="s">
        <v>112</v>
      </c>
      <c r="E34" s="145">
        <f>+Liquidacion!F24</f>
        <v>200</v>
      </c>
      <c r="F34" s="144"/>
    </row>
    <row r="35" spans="2:6" x14ac:dyDescent="0.2">
      <c r="B35" t="s">
        <v>119</v>
      </c>
      <c r="E35" s="145">
        <f>+Liquidacion!F25</f>
        <v>0</v>
      </c>
      <c r="F35" s="169"/>
    </row>
    <row r="36" spans="2:6" x14ac:dyDescent="0.2">
      <c r="B36" s="148" t="s">
        <v>113</v>
      </c>
      <c r="C36" s="146"/>
      <c r="D36" s="146"/>
      <c r="E36" s="147">
        <f>+E33+E34+E35</f>
        <v>10000</v>
      </c>
      <c r="F36" s="52"/>
    </row>
    <row r="37" spans="2:6" x14ac:dyDescent="0.2">
      <c r="B37" s="223">
        <f>IF(E37=0,0,"DIFERENCIA PAGA AL CONCESIONARIO")</f>
        <v>0</v>
      </c>
      <c r="C37" s="223"/>
      <c r="D37" s="223"/>
      <c r="E37" s="155">
        <f>IF(E36&lt;E32,E32-E36,0)</f>
        <v>0</v>
      </c>
    </row>
    <row r="39" spans="2:6" x14ac:dyDescent="0.2">
      <c r="B39" t="s">
        <v>114</v>
      </c>
    </row>
    <row r="41" spans="2:6" x14ac:dyDescent="0.2">
      <c r="B41" s="122" t="s">
        <v>129</v>
      </c>
    </row>
    <row r="43" spans="2:6" x14ac:dyDescent="0.2">
      <c r="B43" t="s">
        <v>115</v>
      </c>
    </row>
    <row r="46" spans="2:6" x14ac:dyDescent="0.2">
      <c r="B46" s="122" t="s">
        <v>116</v>
      </c>
    </row>
    <row r="51" spans="2:2" x14ac:dyDescent="0.2">
      <c r="B51" t="s">
        <v>117</v>
      </c>
    </row>
  </sheetData>
  <mergeCells count="9">
    <mergeCell ref="B37:D37"/>
    <mergeCell ref="B30:F30"/>
    <mergeCell ref="C7:E7"/>
    <mergeCell ref="B15:F15"/>
    <mergeCell ref="B16:G16"/>
    <mergeCell ref="D19:E19"/>
    <mergeCell ref="D21:E21"/>
    <mergeCell ref="B23:F23"/>
    <mergeCell ref="D20:G2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Informe</vt:lpstr>
      <vt:lpstr>Aprobacion</vt:lpstr>
      <vt:lpstr>Liquidacion</vt:lpstr>
      <vt:lpstr>Orden Compra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Joffre M</cp:lastModifiedBy>
  <cp:lastPrinted>2021-11-04T14:17:22Z</cp:lastPrinted>
  <dcterms:created xsi:type="dcterms:W3CDTF">2020-02-25T03:23:20Z</dcterms:created>
  <dcterms:modified xsi:type="dcterms:W3CDTF">2021-11-16T20:51:07Z</dcterms:modified>
</cp:coreProperties>
</file>