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共有ドライブ\SI案件\アイビーネット_契約書管理システム\契約書管理システム共有\00 要件定義\テンプレート\実金\"/>
    </mc:Choice>
  </mc:AlternateContent>
  <xr:revisionPtr revIDLastSave="0" documentId="13_ncr:1_{9F9C099F-31EF-49AD-9B70-387880C91DC6}" xr6:coauthVersionLast="47" xr6:coauthVersionMax="47" xr10:uidLastSave="{00000000-0000-0000-0000-000000000000}"/>
  <bookViews>
    <workbookView xWindow="810" yWindow="-120" windowWidth="37710" windowHeight="21840" activeTab="1" xr2:uid="{00000000-000D-0000-FFFF-FFFF00000000}"/>
  </bookViews>
  <sheets>
    <sheet name="入力シート" sheetId="1" r:id="rId1"/>
    <sheet name="実金" sheetId="5" r:id="rId2"/>
    <sheet name="休日" sheetId="4" r:id="rId3"/>
    <sheet name="固定値" sheetId="6" r:id="rId4"/>
  </sheets>
  <definedNames>
    <definedName name="_xlnm.Print_Area" localSheetId="1">実金!$A:$J</definedName>
    <definedName name="_xlnm.Print_Titles" localSheetId="1">実金!$21:$21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" l="1"/>
  <c r="A1" i="5"/>
  <c r="B56" i="1"/>
  <c r="B58" i="1"/>
  <c r="B59" i="1"/>
  <c r="B60" i="1"/>
  <c r="F4" i="5" s="1"/>
  <c r="B61" i="1"/>
  <c r="F5" i="5" s="1"/>
  <c r="B62" i="1"/>
  <c r="H4" i="5" s="1"/>
  <c r="B63" i="1"/>
  <c r="E16" i="5" s="1"/>
  <c r="B64" i="1"/>
  <c r="E17" i="5" s="1"/>
  <c r="B65" i="1"/>
  <c r="B66" i="1"/>
  <c r="B67" i="1"/>
  <c r="B68" i="1"/>
  <c r="B69" i="1"/>
  <c r="B70" i="1"/>
  <c r="B22" i="5"/>
  <c r="B23" i="5" s="1"/>
  <c r="A23" i="5"/>
  <c r="A24" i="5" s="1"/>
  <c r="I17" i="5"/>
  <c r="B14" i="5"/>
  <c r="B12" i="5"/>
  <c r="B9" i="5"/>
  <c r="B7" i="5" s="1"/>
  <c r="B6" i="5"/>
  <c r="B4" i="5"/>
  <c r="B3" i="5"/>
  <c r="F2" i="5"/>
  <c r="B10" i="5" l="1"/>
  <c r="L22" i="5"/>
  <c r="M22" i="5" s="1"/>
  <c r="B24" i="5"/>
  <c r="J24" i="5" s="1"/>
  <c r="L23" i="5"/>
  <c r="J23" i="5"/>
  <c r="B8" i="5"/>
  <c r="M23" i="5" l="1"/>
  <c r="L24" i="5"/>
  <c r="C22" i="5"/>
  <c r="I19" i="5"/>
  <c r="B16" i="5"/>
  <c r="B11" i="5"/>
  <c r="F22" i="5" l="1"/>
  <c r="G22" i="5" s="1"/>
  <c r="D22" i="5"/>
  <c r="M24" i="5"/>
  <c r="C23" i="5"/>
  <c r="E23" i="5" l="1"/>
  <c r="F23" i="5"/>
  <c r="G23" i="5" s="1"/>
  <c r="C24" i="5"/>
  <c r="H22" i="5"/>
  <c r="I23" i="5" s="1"/>
  <c r="B5" i="5"/>
  <c r="H10" i="5" s="1"/>
  <c r="H23" i="5" l="1"/>
  <c r="I24" i="5" s="1"/>
  <c r="E24" i="5"/>
  <c r="F10" i="5" s="1"/>
  <c r="F24" i="5"/>
  <c r="G24" i="5" s="1"/>
  <c r="H24" i="5" l="1"/>
  <c r="H5" i="5" l="1"/>
  <c r="F11" i="5" l="1"/>
  <c r="H8" i="5"/>
  <c r="F12" i="5"/>
  <c r="H7" i="5" l="1"/>
  <c r="F7" i="5" s="1"/>
  <c r="F8" i="5"/>
</calcChain>
</file>

<file path=xl/sharedStrings.xml><?xml version="1.0" encoding="utf-8"?>
<sst xmlns="http://schemas.openxmlformats.org/spreadsheetml/2006/main" count="233" uniqueCount="180">
  <si>
    <t>商品区分</t>
  </si>
  <si>
    <t>顧客名</t>
  </si>
  <si>
    <t>生年月日</t>
  </si>
  <si>
    <t>配偶者名</t>
  </si>
  <si>
    <t>顧客名ローマ字</t>
  </si>
  <si>
    <t>配偶者名ローマ字</t>
  </si>
  <si>
    <t>郵便番号</t>
  </si>
  <si>
    <t>顧客住所</t>
  </si>
  <si>
    <t>顧客住所ローマ字</t>
  </si>
  <si>
    <t>自宅電話番号</t>
  </si>
  <si>
    <t>携帯電話番号</t>
  </si>
  <si>
    <t>勤務先名</t>
  </si>
  <si>
    <t>勤務先所在地</t>
  </si>
  <si>
    <t>勤務先電話番号</t>
  </si>
  <si>
    <t>物件価格</t>
  </si>
  <si>
    <t>物件価格ローマ字表記</t>
  </si>
  <si>
    <t>抵当権設定額</t>
  </si>
  <si>
    <t>元金弁済金額</t>
  </si>
  <si>
    <t>初回元金弁済日</t>
  </si>
  <si>
    <t>元金弁済回数</t>
  </si>
  <si>
    <t>最終弁済時元金額</t>
  </si>
  <si>
    <t>約定利率</t>
  </si>
  <si>
    <t>基準金利</t>
  </si>
  <si>
    <t>上乗せ金利</t>
  </si>
  <si>
    <t>融資手数料（税込）</t>
  </si>
  <si>
    <t>土地面積</t>
  </si>
  <si>
    <t>建物面積</t>
  </si>
  <si>
    <t>建物タイプ</t>
  </si>
  <si>
    <t>建物価格</t>
  </si>
  <si>
    <t>築年数</t>
  </si>
  <si>
    <t>収入印紙代</t>
  </si>
  <si>
    <t>送金手数料</t>
  </si>
  <si>
    <t>弁済期間</t>
  </si>
  <si>
    <t>弁済回数</t>
  </si>
  <si>
    <t>初回弁済日</t>
  </si>
  <si>
    <t>最終弁済日</t>
  </si>
  <si>
    <t>金消契約日</t>
  </si>
  <si>
    <t>借入日</t>
  </si>
  <si>
    <t>連帯保証人名</t>
  </si>
  <si>
    <t>連帯保証人名ローマ字</t>
  </si>
  <si>
    <t>為替予約日</t>
  </si>
  <si>
    <t>融資比率</t>
  </si>
  <si>
    <t>田中 太郎</t>
  </si>
  <si>
    <t>田中 花子</t>
  </si>
  <si>
    <t>HANAKO TANAKA</t>
  </si>
  <si>
    <t>2**-00**</t>
  </si>
  <si>
    <t>神奈川県***市***区****1-1-1</t>
  </si>
  <si>
    <t>1-1-1 ****, ***-KU, ***-SHI, KANAGAWA 2***-00** JAPAN</t>
  </si>
  <si>
    <t>03-****-****</t>
  </si>
  <si>
    <t>090-****-****</t>
  </si>
  <si>
    <t>株式会社アイビーネット</t>
  </si>
  <si>
    <t>東京都中央区銀座６-１０-１</t>
  </si>
  <si>
    <t>03-6264-5647</t>
  </si>
  <si>
    <t>保証 太郎/保証 花子</t>
  </si>
  <si>
    <t>神奈川県***市***区****1-1-2/神奈川県***市***区****1-1-3</t>
  </si>
  <si>
    <t>1-1-2 ****, ***-KU, ***-SHI, KANAGAWA 2***-00** JAPAN/1-1-3 ****, ***-KU, ***-SHI, KANAGAWA 2***-00** JAPAN</t>
  </si>
  <si>
    <t>借入希望金額（＄）</t>
  </si>
  <si>
    <t>実質利率（年率）</t>
  </si>
  <si>
    <t>貸付元本額（￥）</t>
  </si>
  <si>
    <t>将来支払う返済金額の合計額</t>
  </si>
  <si>
    <t>返済元本の総額</t>
  </si>
  <si>
    <t>出金額</t>
  </si>
  <si>
    <t>各回利息</t>
  </si>
  <si>
    <t>為替手数料</t>
  </si>
  <si>
    <t>最終回（元利金）</t>
  </si>
  <si>
    <t>手数料率</t>
  </si>
  <si>
    <t>事務手等支払期限</t>
  </si>
  <si>
    <t>日割日数</t>
  </si>
  <si>
    <t>消費税率</t>
  </si>
  <si>
    <t>日割利息</t>
  </si>
  <si>
    <t>実行及び返済日</t>
  </si>
  <si>
    <t>年月日</t>
  </si>
  <si>
    <t>手数料等</t>
  </si>
  <si>
    <t>後払利息</t>
  </si>
  <si>
    <t>返済元本</t>
  </si>
  <si>
    <t>約定元本</t>
  </si>
  <si>
    <t>利用可能額</t>
  </si>
  <si>
    <t>計算元本積数</t>
  </si>
  <si>
    <t>日数</t>
  </si>
  <si>
    <t>休日</t>
  </si>
  <si>
    <t>元日</t>
  </si>
  <si>
    <t>成人の日</t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</si>
  <si>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</si>
  <si>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</si>
  <si>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</si>
  <si>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</si>
  <si>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</si>
  <si>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</si>
  <si>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</si>
  <si>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</si>
  <si>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スポーツの日</t>
  </si>
  <si>
    <t>山の日</t>
  </si>
  <si>
    <t>振替休日</t>
  </si>
  <si>
    <t>敬老の日</t>
  </si>
  <si>
    <t>秋分の日</t>
  </si>
  <si>
    <t>文化の日</t>
  </si>
  <si>
    <t>勤労感謝の日</t>
  </si>
  <si>
    <t>HOSYO TAROU/HOSYO HANAKO</t>
    <phoneticPr fontId="2"/>
  </si>
  <si>
    <t>H 2610 Runic</t>
  </si>
  <si>
    <t>2610 Runic Way, Alpharetta</t>
  </si>
  <si>
    <t>GA 30022, USA</t>
  </si>
  <si>
    <t>4 Bed 2.5 Bath</t>
  </si>
  <si>
    <t>2610 Runic Way, Alpharetta, GA 30022</t>
  </si>
  <si>
    <t>優遇レート</t>
  </si>
  <si>
    <t>ＵＳＤ借入希望金額</t>
  </si>
  <si>
    <t>ＵＳＤ借入希望金額ローマ字表記</t>
  </si>
  <si>
    <t>担保明細－物件名</t>
  </si>
  <si>
    <t>担保明細－所在地</t>
  </si>
  <si>
    <t>担保明細－州国</t>
  </si>
  <si>
    <t>Ｃｌｏｓｉｎｇ　Ｄａｔｅ</t>
  </si>
  <si>
    <t>Ｃｏｕｎｔｒｙ</t>
  </si>
  <si>
    <t>敬称</t>
  </si>
  <si>
    <t>様</t>
    <rPh sb="0" eb="1">
      <t>サマ</t>
    </rPh>
    <phoneticPr fontId="25"/>
  </si>
  <si>
    <t>TARO TANAKA</t>
    <phoneticPr fontId="25"/>
  </si>
  <si>
    <t>バルーン回数（＝返済年数）</t>
  </si>
  <si>
    <t>約定弁済月</t>
  </si>
  <si>
    <t>最終弁済時ＬＴＶ</t>
  </si>
  <si>
    <t>手数料率</t>
    <rPh sb="0" eb="3">
      <t>テスウリョウ</t>
    </rPh>
    <rPh sb="3" eb="4">
      <t>リツ</t>
    </rPh>
    <phoneticPr fontId="25"/>
  </si>
  <si>
    <t>消費税率</t>
    <rPh sb="0" eb="3">
      <t>ショウヒゼイ</t>
    </rPh>
    <rPh sb="3" eb="4">
      <t>リツ</t>
    </rPh>
    <phoneticPr fontId="25"/>
  </si>
  <si>
    <t>ＬＴＶ</t>
  </si>
  <si>
    <t>ＴＴＳレート</t>
  </si>
  <si>
    <t>優遇レート（三井住友）</t>
  </si>
  <si>
    <t>各回均等約定弁済額</t>
  </si>
  <si>
    <t>定額元金</t>
  </si>
  <si>
    <t>約弁回数累計</t>
  </si>
  <si>
    <t>スポーツの日（体育の日改め）</t>
  </si>
  <si>
    <t>返済開始月以降の返済月か</t>
    <rPh sb="0" eb="2">
      <t>ヘンサイ</t>
    </rPh>
    <rPh sb="2" eb="4">
      <t>カイシ</t>
    </rPh>
    <rPh sb="4" eb="5">
      <t>ツキ</t>
    </rPh>
    <rPh sb="5" eb="7">
      <t>イコウ</t>
    </rPh>
    <rPh sb="8" eb="10">
      <t>ヘンサイ</t>
    </rPh>
    <rPh sb="10" eb="11">
      <t>ゲツ</t>
    </rPh>
    <phoneticPr fontId="2"/>
  </si>
  <si>
    <t>利息・手数料等の総額</t>
    <phoneticPr fontId="2"/>
  </si>
  <si>
    <t>実金シート内確認用ＬＴＶ</t>
    <rPh sb="0" eb="1">
      <t>ジツ</t>
    </rPh>
    <rPh sb="1" eb="2">
      <t>キン</t>
    </rPh>
    <rPh sb="5" eb="6">
      <t>ナイ</t>
    </rPh>
    <rPh sb="6" eb="8">
      <t>カクニン</t>
    </rPh>
    <rPh sb="8" eb="9">
      <t>ヨウ</t>
    </rPh>
    <phoneticPr fontId="2"/>
  </si>
  <si>
    <t>入力シート項目名</t>
    <rPh sb="0" eb="2">
      <t>ニュウリョク</t>
    </rPh>
    <rPh sb="5" eb="7">
      <t>コウモク</t>
    </rPh>
    <rPh sb="7" eb="8">
      <t>メイ</t>
    </rPh>
    <phoneticPr fontId="3"/>
  </si>
  <si>
    <t>属性</t>
    <rPh sb="0" eb="2">
      <t>ゾクセイ</t>
    </rPh>
    <phoneticPr fontId="3"/>
  </si>
  <si>
    <t>商品名</t>
    <rPh sb="0" eb="3">
      <t>ショウヒンメイ</t>
    </rPh>
    <phoneticPr fontId="3"/>
  </si>
  <si>
    <t>商品種類</t>
    <rPh sb="0" eb="2">
      <t>ショウヒン</t>
    </rPh>
    <rPh sb="2" eb="4">
      <t>シュルイ</t>
    </rPh>
    <phoneticPr fontId="3"/>
  </si>
  <si>
    <t>バルーン回数</t>
    <rPh sb="4" eb="6">
      <t>カイスウ</t>
    </rPh>
    <phoneticPr fontId="3"/>
  </si>
  <si>
    <t>約定弁済月</t>
    <rPh sb="0" eb="2">
      <t>ヤクジョウ</t>
    </rPh>
    <rPh sb="2" eb="4">
      <t>ベンサイ</t>
    </rPh>
    <rPh sb="4" eb="5">
      <t>ツキ</t>
    </rPh>
    <phoneticPr fontId="3"/>
  </si>
  <si>
    <t>最終弁済時LTV</t>
    <rPh sb="0" eb="2">
      <t>サイシュウ</t>
    </rPh>
    <rPh sb="2" eb="4">
      <t>ベンサイ</t>
    </rPh>
    <rPh sb="4" eb="5">
      <t>ジ</t>
    </rPh>
    <phoneticPr fontId="3"/>
  </si>
  <si>
    <t>手数料率</t>
    <rPh sb="0" eb="3">
      <t>テスウリョウ</t>
    </rPh>
    <rPh sb="3" eb="4">
      <t>リツ</t>
    </rPh>
    <phoneticPr fontId="3"/>
  </si>
  <si>
    <t>消費税率</t>
    <rPh sb="0" eb="3">
      <t>ショウヒゼイ</t>
    </rPh>
    <rPh sb="3" eb="4">
      <t>リツ</t>
    </rPh>
    <phoneticPr fontId="3"/>
  </si>
  <si>
    <t>個人</t>
  </si>
  <si>
    <t>70N</t>
  </si>
  <si>
    <t>最終元金一括弁済</t>
  </si>
  <si>
    <t>70NP</t>
  </si>
  <si>
    <t>2054</t>
    <phoneticPr fontId="2"/>
  </si>
  <si>
    <t>1年毎5月(8回)弁済</t>
  </si>
  <si>
    <t>9054</t>
    <phoneticPr fontId="2"/>
  </si>
  <si>
    <t>1年毎5月(4回)弁済</t>
  </si>
  <si>
    <t>コバルト70</t>
  </si>
  <si>
    <t>1年毎5月(8回) + 最終元金一括弁済</t>
  </si>
  <si>
    <t>マルチ50</t>
  </si>
  <si>
    <t>マルチ70</t>
  </si>
  <si>
    <t>資産管理法人</t>
  </si>
  <si>
    <t>資産管理法人70N</t>
  </si>
  <si>
    <t>資産管理法人70NP</t>
    <phoneticPr fontId="2"/>
  </si>
  <si>
    <t>TXPMコバルト70</t>
  </si>
  <si>
    <t>資産管理法人マルチ50</t>
  </si>
  <si>
    <t>資産管理法人マルチ70</t>
  </si>
  <si>
    <t>事業法人</t>
  </si>
  <si>
    <t>コーポレート50</t>
  </si>
  <si>
    <t>コーポレート60</t>
  </si>
  <si>
    <t>コーポレート70</t>
  </si>
  <si>
    <t>コーポレート
マルチ50</t>
  </si>
  <si>
    <t>コーポレート
マルチ70　</t>
  </si>
  <si>
    <t>この表の項目を入れ替えたり、行や列を増減させないでください。</t>
    <rPh sb="2" eb="3">
      <t>ヒョウ</t>
    </rPh>
    <rPh sb="4" eb="6">
      <t>コウモク</t>
    </rPh>
    <rPh sb="7" eb="8">
      <t>イ</t>
    </rPh>
    <rPh sb="9" eb="10">
      <t>カ</t>
    </rPh>
    <rPh sb="14" eb="15">
      <t>ギョウ</t>
    </rPh>
    <rPh sb="16" eb="17">
      <t>レツ</t>
    </rPh>
    <rPh sb="18" eb="20">
      <t>ゾウゲン</t>
    </rPh>
    <phoneticPr fontId="2"/>
  </si>
  <si>
    <t>「入力シート項目名」の値は任意に変更しても問題はありません。</t>
    <rPh sb="1" eb="3">
      <t>ニュウリョク</t>
    </rPh>
    <rPh sb="6" eb="9">
      <t>コウモクメイ</t>
    </rPh>
    <rPh sb="11" eb="12">
      <t>アタイ</t>
    </rPh>
    <rPh sb="13" eb="15">
      <t>ニンイ</t>
    </rPh>
    <rPh sb="16" eb="18">
      <t>ヘンコウ</t>
    </rPh>
    <rPh sb="21" eb="23">
      <t>モンダイ</t>
    </rPh>
    <phoneticPr fontId="2"/>
  </si>
  <si>
    <t>初回弁済日（英）</t>
    <rPh sb="6" eb="7">
      <t>エイ</t>
    </rPh>
    <phoneticPr fontId="1"/>
  </si>
  <si>
    <t>最終弁済日（英）</t>
    <rPh sb="6" eb="7">
      <t>エイ</t>
    </rPh>
    <phoneticPr fontId="1"/>
  </si>
  <si>
    <t>Ｃｌｏｓｉｎｇ　Ｄ（英）</t>
    <rPh sb="10" eb="11">
      <t>エイ</t>
    </rPh>
    <phoneticPr fontId="1"/>
  </si>
  <si>
    <t>金消契約日（英）</t>
    <rPh sb="6" eb="7">
      <t>エイ</t>
    </rPh>
    <phoneticPr fontId="1"/>
  </si>
  <si>
    <t>借入日（英）</t>
    <rPh sb="4" eb="5">
      <t>エイ</t>
    </rPh>
    <phoneticPr fontId="1"/>
  </si>
  <si>
    <t>初回元金弁済日（英）</t>
    <rPh sb="8" eb="9">
      <t>エイ</t>
    </rPh>
    <phoneticPr fontId="1"/>
  </si>
  <si>
    <t>Ｌｅｇａｌ　ＤＥＳＣ</t>
  </si>
  <si>
    <t>Ｉｎｓｔｒｕｍｅｎｔａｌ</t>
  </si>
  <si>
    <t>Ｐａｒｃｅｌ　Ｎｏ</t>
  </si>
  <si>
    <t>Ｐｒｏｐｅｒｔｙ　Ａｄｄ</t>
  </si>
  <si>
    <t>約弁回</t>
    <phoneticPr fontId="2"/>
  </si>
  <si>
    <t>連帯保証人住所</t>
    <phoneticPr fontId="2"/>
  </si>
  <si>
    <t>連帯保証人ローマ字</t>
    <phoneticPr fontId="2"/>
  </si>
  <si>
    <t>州国</t>
    <phoneticPr fontId="25"/>
  </si>
  <si>
    <t>システム実行日</t>
    <phoneticPr fontId="25"/>
  </si>
  <si>
    <t>顧客名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</si>
</sst>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¥&quot;#,##0;[Red]&quot;¥&quot;\-#,##0"/>
    <numFmt numFmtId="8" formatCode="&quot;¥&quot;#,##0.00;[Red]&quot;¥&quot;\-#,##0.00"/>
    <numFmt numFmtId="176" formatCode="0.000%"/>
    <numFmt numFmtId="177" formatCode="[$$-409]#,##0_);\([$$-409]#,##0\)"/>
    <numFmt numFmtId="178" formatCode="[$¥-411]#,##0.00_);\([$¥-411]#,##0.00\)"/>
    <numFmt numFmtId="179" formatCode="[$¥-411]#,##0_);\([$¥-411]#,##0\)"/>
    <numFmt numFmtId="180" formatCode="[$-F800]dddd\,\ mmmm\ dd\,\ yyyy"/>
    <numFmt numFmtId="181" formatCode="yyyymmdd"/>
    <numFmt numFmtId="182" formatCode="\$#,##0.00;[Red]\$\-#,##0.00"/>
    <numFmt numFmtId="183" formatCode="#,##0&quot;回&quot;;[Red]\-#,##0&quot;回&quot;"/>
    <numFmt numFmtId="184" formatCode="#,##0.00&quot;㎡&quot;;[Red]\-#,##0.00&quot;㎡&quot;"/>
    <numFmt numFmtId="185" formatCode="0&quot;年築&quot;;[Red]\-0&quot;年築&quot;"/>
    <numFmt numFmtId="186" formatCode="#,##0&quot;年&quot;;[Red]\-#,##0&quot;年&quot;"/>
    <numFmt numFmtId="187" formatCode="[$-409]mmmm\ dd\,\ yyyy;@"/>
  </numFmts>
  <fonts count="2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1"/>
      <color rgb="FF000000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6"/>
      <color rgb="FF000000"/>
      <name val="Meiryo UI"/>
      <family val="3"/>
      <charset val="128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/>
    <xf numFmtId="6" fontId="2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4" fillId="0" borderId="0" xfId="0" applyFont="1">
      <alignment vertical="center"/>
    </xf>
    <xf numFmtId="0" fontId="26" fillId="35" borderId="11" xfId="0" applyFont="1" applyFill="1" applyBorder="1" applyAlignment="1">
      <alignment vertical="center" shrinkToFit="1"/>
    </xf>
    <xf numFmtId="0" fontId="26" fillId="35" borderId="11" xfId="48" applyFont="1" applyFill="1" applyBorder="1" applyAlignment="1">
      <alignment vertical="center"/>
    </xf>
    <xf numFmtId="0" fontId="26" fillId="0" borderId="0" xfId="48" applyFont="1" applyAlignment="1">
      <alignment vertical="center"/>
    </xf>
    <xf numFmtId="0" fontId="26" fillId="0" borderId="0" xfId="48" applyFont="1" applyAlignment="1">
      <alignment vertical="center" wrapText="1"/>
    </xf>
    <xf numFmtId="180" fontId="24" fillId="0" borderId="0" xfId="0" applyNumberFormat="1" applyFont="1">
      <alignment vertical="center"/>
    </xf>
    <xf numFmtId="31" fontId="24" fillId="0" borderId="0" xfId="0" applyNumberFormat="1" applyFont="1">
      <alignment vertical="center"/>
    </xf>
    <xf numFmtId="0" fontId="26" fillId="0" borderId="0" xfId="48" applyFont="1" applyFill="1" applyBorder="1" applyAlignment="1">
      <alignment vertical="center"/>
    </xf>
    <xf numFmtId="0" fontId="24" fillId="0" borderId="0" xfId="0" applyFont="1" applyFill="1" applyBorder="1">
      <alignment vertical="center"/>
    </xf>
    <xf numFmtId="179" fontId="26" fillId="0" borderId="0" xfId="48" applyNumberFormat="1" applyFont="1" applyFill="1" applyBorder="1" applyAlignment="1">
      <alignment vertical="center"/>
    </xf>
    <xf numFmtId="10" fontId="26" fillId="0" borderId="0" xfId="48" applyNumberFormat="1" applyFont="1" applyFill="1" applyBorder="1" applyAlignment="1">
      <alignment vertical="center"/>
    </xf>
    <xf numFmtId="0" fontId="26" fillId="0" borderId="1" xfId="48" applyFont="1" applyFill="1" applyBorder="1" applyAlignment="1">
      <alignment vertical="center" shrinkToFit="1"/>
    </xf>
    <xf numFmtId="0" fontId="26" fillId="0" borderId="1" xfId="48" applyFont="1" applyFill="1" applyBorder="1" applyAlignment="1">
      <alignment vertical="center" wrapText="1"/>
    </xf>
    <xf numFmtId="38" fontId="26" fillId="38" borderId="1" xfId="48" applyNumberFormat="1" applyFont="1" applyFill="1" applyBorder="1" applyAlignment="1">
      <alignment horizontal="right" vertical="center" shrinkToFit="1"/>
    </xf>
    <xf numFmtId="177" fontId="26" fillId="38" borderId="1" xfId="48" applyNumberFormat="1" applyFont="1" applyFill="1" applyBorder="1" applyAlignment="1">
      <alignment vertical="center" shrinkToFit="1"/>
    </xf>
    <xf numFmtId="10" fontId="26" fillId="38" borderId="1" xfId="48" applyNumberFormat="1" applyFont="1" applyFill="1" applyBorder="1" applyAlignment="1">
      <alignment vertical="center" shrinkToFit="1"/>
    </xf>
    <xf numFmtId="9" fontId="26" fillId="38" borderId="1" xfId="48" applyNumberFormat="1" applyFont="1" applyFill="1" applyBorder="1" applyAlignment="1">
      <alignment vertical="center" shrinkToFit="1"/>
    </xf>
    <xf numFmtId="9" fontId="26" fillId="39" borderId="1" xfId="2" applyFont="1" applyFill="1" applyBorder="1" applyAlignment="1">
      <alignment vertical="center" shrinkToFit="1"/>
    </xf>
    <xf numFmtId="177" fontId="26" fillId="39" borderId="1" xfId="48" applyNumberFormat="1" applyFont="1" applyFill="1" applyBorder="1" applyAlignment="1">
      <alignment vertical="center" shrinkToFit="1"/>
    </xf>
    <xf numFmtId="178" fontId="26" fillId="39" borderId="1" xfId="48" applyNumberFormat="1" applyFont="1" applyFill="1" applyBorder="1" applyAlignment="1">
      <alignment vertical="center" shrinkToFit="1"/>
    </xf>
    <xf numFmtId="179" fontId="26" fillId="39" borderId="1" xfId="48" applyNumberFormat="1" applyFont="1" applyFill="1" applyBorder="1" applyAlignment="1">
      <alignment vertical="center" shrinkToFit="1"/>
    </xf>
    <xf numFmtId="14" fontId="26" fillId="39" borderId="1" xfId="48" applyNumberFormat="1" applyFont="1" applyFill="1" applyBorder="1" applyAlignment="1">
      <alignment vertical="center" shrinkToFit="1"/>
    </xf>
    <xf numFmtId="38" fontId="26" fillId="39" borderId="1" xfId="1" applyFont="1" applyFill="1" applyBorder="1" applyAlignment="1">
      <alignment vertical="center" shrinkToFit="1"/>
    </xf>
    <xf numFmtId="176" fontId="26" fillId="39" borderId="1" xfId="48" applyNumberFormat="1" applyFont="1" applyFill="1" applyBorder="1" applyAlignment="1">
      <alignment vertical="center" shrinkToFit="1"/>
    </xf>
    <xf numFmtId="38" fontId="26" fillId="38" borderId="1" xfId="1" applyFont="1" applyFill="1" applyBorder="1" applyAlignment="1">
      <alignment vertical="center" shrinkToFit="1"/>
    </xf>
    <xf numFmtId="9" fontId="26" fillId="38" borderId="1" xfId="2" applyFont="1" applyFill="1" applyBorder="1" applyAlignment="1">
      <alignment vertical="center" shrinkToFit="1"/>
    </xf>
    <xf numFmtId="0" fontId="24" fillId="0" borderId="1" xfId="0" applyFont="1" applyFill="1" applyBorder="1" applyAlignment="1">
      <alignment vertical="center" wrapText="1"/>
    </xf>
    <xf numFmtId="9" fontId="24" fillId="39" borderId="1" xfId="2" applyFont="1" applyFill="1" applyBorder="1" applyAlignment="1">
      <alignment vertical="center" shrinkToFit="1"/>
    </xf>
    <xf numFmtId="0" fontId="26" fillId="0" borderId="11" xfId="48" applyFont="1" applyBorder="1" applyAlignment="1">
      <alignment vertical="center" shrinkToFit="1"/>
    </xf>
    <xf numFmtId="14" fontId="26" fillId="0" borderId="11" xfId="48" applyNumberFormat="1" applyFont="1" applyBorder="1" applyAlignment="1">
      <alignment vertical="center" shrinkToFit="1"/>
    </xf>
    <xf numFmtId="38" fontId="26" fillId="0" borderId="11" xfId="1" applyFont="1" applyBorder="1" applyAlignment="1">
      <alignment vertical="center" shrinkToFit="1"/>
    </xf>
    <xf numFmtId="38" fontId="26" fillId="0" borderId="11" xfId="1" applyFont="1" applyBorder="1" applyAlignment="1">
      <alignment horizontal="center" vertical="center" shrinkToFit="1"/>
    </xf>
    <xf numFmtId="38" fontId="26" fillId="0" borderId="11" xfId="1" applyFont="1" applyFill="1" applyBorder="1" applyAlignment="1">
      <alignment vertical="center" shrinkToFit="1"/>
    </xf>
    <xf numFmtId="0" fontId="24" fillId="0" borderId="0" xfId="61" applyFont="1">
      <alignment vertical="center"/>
    </xf>
    <xf numFmtId="0" fontId="24" fillId="3" borderId="0" xfId="61" applyFont="1" applyFill="1">
      <alignment vertical="center"/>
    </xf>
    <xf numFmtId="0" fontId="24" fillId="3" borderId="16" xfId="61" applyFont="1" applyFill="1" applyBorder="1">
      <alignment vertical="center"/>
    </xf>
    <xf numFmtId="0" fontId="24" fillId="3" borderId="17" xfId="61" applyFont="1" applyFill="1" applyBorder="1">
      <alignment vertical="center"/>
    </xf>
    <xf numFmtId="38" fontId="23" fillId="0" borderId="17" xfId="62" applyFont="1" applyBorder="1">
      <alignment vertical="center"/>
    </xf>
    <xf numFmtId="9" fontId="23" fillId="0" borderId="17" xfId="63" applyFont="1" applyBorder="1">
      <alignment vertical="center"/>
    </xf>
    <xf numFmtId="0" fontId="24" fillId="3" borderId="17" xfId="61" quotePrefix="1" applyFont="1" applyFill="1" applyBorder="1">
      <alignment vertical="center"/>
    </xf>
    <xf numFmtId="0" fontId="24" fillId="3" borderId="18" xfId="61" applyFont="1" applyFill="1" applyBorder="1">
      <alignment vertical="center"/>
    </xf>
    <xf numFmtId="38" fontId="23" fillId="0" borderId="18" xfId="62" applyFont="1" applyBorder="1">
      <alignment vertical="center"/>
    </xf>
    <xf numFmtId="9" fontId="23" fillId="0" borderId="18" xfId="63" applyFont="1" applyBorder="1">
      <alignment vertical="center"/>
    </xf>
    <xf numFmtId="0" fontId="26" fillId="36" borderId="11" xfId="0" applyFont="1" applyFill="1" applyBorder="1" applyAlignment="1">
      <alignment horizontal="left" vertical="center" wrapText="1"/>
    </xf>
    <xf numFmtId="0" fontId="24" fillId="3" borderId="11" xfId="0" applyFont="1" applyFill="1" applyBorder="1">
      <alignment vertical="center"/>
    </xf>
    <xf numFmtId="0" fontId="24" fillId="3" borderId="1" xfId="0" applyFont="1" applyFill="1" applyBorder="1">
      <alignment vertical="center"/>
    </xf>
    <xf numFmtId="178" fontId="26" fillId="40" borderId="1" xfId="48" applyNumberFormat="1" applyFont="1" applyFill="1" applyBorder="1" applyAlignment="1">
      <alignment vertical="center" shrinkToFit="1"/>
    </xf>
    <xf numFmtId="8" fontId="23" fillId="0" borderId="11" xfId="1" applyNumberFormat="1" applyFont="1" applyBorder="1" applyAlignment="1">
      <alignment horizontal="left" wrapText="1"/>
    </xf>
    <xf numFmtId="0" fontId="23" fillId="2" borderId="11" xfId="0" applyFont="1" applyFill="1" applyBorder="1" applyAlignment="1">
      <alignment horizontal="left" wrapText="1"/>
    </xf>
    <xf numFmtId="0" fontId="23" fillId="0" borderId="11" xfId="0" applyFont="1" applyBorder="1" applyAlignment="1">
      <alignment horizontal="left" wrapText="1"/>
    </xf>
    <xf numFmtId="180" fontId="23" fillId="0" borderId="11" xfId="0" applyNumberFormat="1" applyFont="1" applyBorder="1" applyAlignment="1">
      <alignment horizontal="left" wrapText="1"/>
    </xf>
    <xf numFmtId="182" fontId="23" fillId="0" borderId="11" xfId="1" applyNumberFormat="1" applyFont="1" applyBorder="1" applyAlignment="1">
      <alignment horizontal="left" wrapText="1"/>
    </xf>
    <xf numFmtId="183" fontId="23" fillId="0" borderId="11" xfId="1" applyNumberFormat="1" applyFont="1" applyBorder="1" applyAlignment="1">
      <alignment horizontal="left" wrapText="1"/>
    </xf>
    <xf numFmtId="10" fontId="23" fillId="0" borderId="11" xfId="2" applyNumberFormat="1" applyFont="1" applyBorder="1" applyAlignment="1">
      <alignment horizontal="left" wrapText="1"/>
    </xf>
    <xf numFmtId="176" fontId="23" fillId="0" borderId="11" xfId="2" applyNumberFormat="1" applyFont="1" applyBorder="1" applyAlignment="1">
      <alignment horizontal="left" wrapText="1"/>
    </xf>
    <xf numFmtId="6" fontId="23" fillId="0" borderId="11" xfId="1" applyNumberFormat="1" applyFont="1" applyBorder="1" applyAlignment="1">
      <alignment horizontal="left" wrapText="1"/>
    </xf>
    <xf numFmtId="184" fontId="23" fillId="0" borderId="11" xfId="1" applyNumberFormat="1" applyFont="1" applyBorder="1" applyAlignment="1">
      <alignment horizontal="left" wrapText="1"/>
    </xf>
    <xf numFmtId="185" fontId="23" fillId="0" borderId="11" xfId="1" applyNumberFormat="1" applyFont="1" applyBorder="1" applyAlignment="1">
      <alignment horizontal="left" wrapText="1"/>
    </xf>
    <xf numFmtId="186" fontId="23" fillId="0" borderId="11" xfId="1" applyNumberFormat="1" applyFont="1" applyBorder="1" applyAlignment="1">
      <alignment horizontal="left" wrapText="1"/>
    </xf>
    <xf numFmtId="183" fontId="23" fillId="37" borderId="11" xfId="1" applyNumberFormat="1" applyFont="1" applyFill="1" applyBorder="1" applyAlignment="1">
      <alignment horizontal="left" wrapText="1"/>
    </xf>
    <xf numFmtId="9" fontId="23" fillId="36" borderId="11" xfId="2" applyFont="1" applyFill="1" applyBorder="1" applyAlignment="1">
      <alignment horizontal="left" wrapText="1"/>
    </xf>
    <xf numFmtId="0" fontId="23" fillId="36" borderId="11" xfId="0" applyFont="1" applyFill="1" applyBorder="1" applyAlignment="1">
      <alignment horizontal="left" wrapText="1"/>
    </xf>
    <xf numFmtId="181" fontId="23" fillId="36" borderId="11" xfId="0" applyNumberFormat="1" applyFont="1" applyFill="1" applyBorder="1" applyAlignment="1">
      <alignment horizontal="left" wrapText="1"/>
    </xf>
    <xf numFmtId="183" fontId="26" fillId="36" borderId="11" xfId="1" applyNumberFormat="1" applyFont="1" applyFill="1" applyBorder="1" applyAlignment="1">
      <alignment horizontal="left" vertical="center" wrapText="1"/>
    </xf>
    <xf numFmtId="9" fontId="26" fillId="36" borderId="11" xfId="2" applyFont="1" applyFill="1" applyBorder="1" applyAlignment="1">
      <alignment horizontal="left" vertical="center" wrapText="1"/>
    </xf>
    <xf numFmtId="187" fontId="24" fillId="36" borderId="11" xfId="0" applyNumberFormat="1" applyFont="1" applyFill="1" applyBorder="1" applyAlignment="1">
      <alignment horizontal="left" vertical="center" wrapText="1"/>
    </xf>
    <xf numFmtId="0" fontId="26" fillId="39" borderId="11" xfId="48" applyFont="1" applyFill="1" applyBorder="1" applyAlignment="1">
      <alignment vertical="center" shrinkToFit="1"/>
    </xf>
    <xf numFmtId="0" fontId="26" fillId="39" borderId="11" xfId="48" applyFont="1" applyFill="1" applyBorder="1" applyAlignment="1">
      <alignment vertical="center"/>
    </xf>
    <xf numFmtId="14" fontId="26" fillId="39" borderId="11" xfId="48" applyNumberFormat="1" applyFont="1" applyFill="1" applyBorder="1" applyAlignment="1">
      <alignment vertical="center" shrinkToFit="1"/>
    </xf>
    <xf numFmtId="38" fontId="26" fillId="39" borderId="11" xfId="1" applyFont="1" applyFill="1" applyBorder="1" applyAlignment="1">
      <alignment vertical="center" shrinkToFit="1"/>
    </xf>
    <xf numFmtId="0" fontId="28" fillId="0" borderId="12" xfId="48" applyFont="1" applyBorder="1" applyAlignment="1">
      <alignment horizontal="center" vertical="center"/>
    </xf>
    <xf numFmtId="0" fontId="28" fillId="0" borderId="13" xfId="48" applyFont="1" applyBorder="1" applyAlignment="1">
      <alignment horizontal="center" vertical="center"/>
    </xf>
    <xf numFmtId="0" fontId="28" fillId="0" borderId="14" xfId="48" applyFont="1" applyBorder="1" applyAlignment="1">
      <alignment horizontal="center" vertical="center"/>
    </xf>
    <xf numFmtId="38" fontId="27" fillId="38" borderId="15" xfId="48" applyNumberFormat="1" applyFont="1" applyFill="1" applyBorder="1" applyAlignment="1">
      <alignment horizontal="left" vertical="center" shrinkToFit="1"/>
    </xf>
  </cellXfs>
  <cellStyles count="64">
    <cellStyle name="20% - アクセント 1" xfId="21" builtinId="30" customBuiltin="1"/>
    <cellStyle name="20% - アクセント 2" xfId="25" builtinId="34" customBuiltin="1"/>
    <cellStyle name="20% - アクセント 3" xfId="29" builtinId="38" customBuiltin="1"/>
    <cellStyle name="20% - アクセント 4" xfId="33" builtinId="42" customBuiltin="1"/>
    <cellStyle name="20% - アクセント 5" xfId="37" builtinId="46" customBuiltin="1"/>
    <cellStyle name="20% - アクセント 6" xfId="41" builtinId="50" customBuiltin="1"/>
    <cellStyle name="40% - アクセント 1" xfId="22" builtinId="31" customBuiltin="1"/>
    <cellStyle name="40% - アクセント 2" xfId="26" builtinId="35" customBuiltin="1"/>
    <cellStyle name="40% - アクセント 3" xfId="30" builtinId="39" customBuiltin="1"/>
    <cellStyle name="40% - アクセント 4" xfId="34" builtinId="43" customBuiltin="1"/>
    <cellStyle name="40% - アクセント 5" xfId="38" builtinId="47" customBuiltin="1"/>
    <cellStyle name="40% - アクセント 6" xfId="42" builtinId="51" customBuiltin="1"/>
    <cellStyle name="60% - アクセント 1" xfId="23" builtinId="32" customBuiltin="1"/>
    <cellStyle name="60% - アクセント 2" xfId="27" builtinId="36" customBuiltin="1"/>
    <cellStyle name="60% - アクセント 3" xfId="31" builtinId="40" customBuiltin="1"/>
    <cellStyle name="60% - アクセント 4" xfId="35" builtinId="44" customBuiltin="1"/>
    <cellStyle name="60% - アクセント 5" xfId="39" builtinId="48" customBuiltin="1"/>
    <cellStyle name="60% - アクセント 6" xfId="43" builtinId="52" customBuiltin="1"/>
    <cellStyle name="アクセント 1" xfId="20" builtinId="29" customBuiltin="1"/>
    <cellStyle name="アクセント 2" xfId="24" builtinId="33" customBuiltin="1"/>
    <cellStyle name="アクセント 3" xfId="28" builtinId="37" customBuiltin="1"/>
    <cellStyle name="アクセント 4" xfId="32" builtinId="41" customBuiltin="1"/>
    <cellStyle name="アクセント 5" xfId="36" builtinId="45" customBuiltin="1"/>
    <cellStyle name="アクセント 6" xfId="40" builtinId="49" customBuiltin="1"/>
    <cellStyle name="タイトル" xfId="3" builtinId="15" customBuiltin="1"/>
    <cellStyle name="チェック セル" xfId="15" builtinId="23" customBuiltin="1"/>
    <cellStyle name="どちらでもない" xfId="10" builtinId="28" customBuiltin="1"/>
    <cellStyle name="パーセント" xfId="2" builtinId="5"/>
    <cellStyle name="パーセント 2" xfId="46" xr:uid="{00000000-0005-0000-0000-00001C000000}"/>
    <cellStyle name="パーセント 2 2" xfId="56" xr:uid="{00000000-0005-0000-0000-00001D000000}"/>
    <cellStyle name="パーセント 2 3" xfId="63" xr:uid="{3C62174C-D986-4F51-8606-9830C14001C9}"/>
    <cellStyle name="パーセント 3" xfId="53" xr:uid="{00000000-0005-0000-0000-00001E000000}"/>
    <cellStyle name="パーセント 4" xfId="57" xr:uid="{00000000-0005-0000-0000-00001F000000}"/>
    <cellStyle name="メモ" xfId="17" builtinId="10" customBuiltin="1"/>
    <cellStyle name="リンク セル" xfId="14" builtinId="24" customBuiltin="1"/>
    <cellStyle name="悪い" xfId="9" builtinId="27" customBuiltin="1"/>
    <cellStyle name="計算" xfId="13" builtinId="22" customBuiltin="1"/>
    <cellStyle name="警告文" xfId="16" builtinId="11" customBuiltin="1"/>
    <cellStyle name="桁区切り" xfId="1" builtinId="6"/>
    <cellStyle name="桁区切り 2" xfId="45" xr:uid="{00000000-0005-0000-0000-000026000000}"/>
    <cellStyle name="桁区切り 2 2" xfId="58" xr:uid="{00000000-0005-0000-0000-000027000000}"/>
    <cellStyle name="桁区切り 2 3" xfId="62" xr:uid="{87613E71-1847-4614-B3D4-3162ED28C678}"/>
    <cellStyle name="桁区切り 3" xfId="47" xr:uid="{00000000-0005-0000-0000-000028000000}"/>
    <cellStyle name="桁区切り 4" xfId="54" xr:uid="{00000000-0005-0000-0000-000029000000}"/>
    <cellStyle name="見出し 1" xfId="4" builtinId="16" customBuiltin="1"/>
    <cellStyle name="見出し 2" xfId="5" builtinId="17" customBuiltin="1"/>
    <cellStyle name="見出し 3" xfId="6" builtinId="18" customBuiltin="1"/>
    <cellStyle name="見出し 4" xfId="7" builtinId="19" customBuiltin="1"/>
    <cellStyle name="集計" xfId="19" builtinId="25" customBuiltin="1"/>
    <cellStyle name="出力" xfId="12" builtinId="21" customBuiltin="1"/>
    <cellStyle name="説明文" xfId="18" builtinId="53" customBuiltin="1"/>
    <cellStyle name="通貨 2" xfId="51" xr:uid="{00000000-0005-0000-0000-000032000000}"/>
    <cellStyle name="通貨 2 2" xfId="59" xr:uid="{00000000-0005-0000-0000-000033000000}"/>
    <cellStyle name="通貨 3" xfId="60" xr:uid="{00000000-0005-0000-0000-000034000000}"/>
    <cellStyle name="入力" xfId="11" builtinId="20" customBuiltin="1"/>
    <cellStyle name="標準" xfId="0" builtinId="0"/>
    <cellStyle name="標準 2" xfId="44" xr:uid="{00000000-0005-0000-0000-000037000000}"/>
    <cellStyle name="標準 2 2" xfId="49" xr:uid="{00000000-0005-0000-0000-000038000000}"/>
    <cellStyle name="標準 2 3" xfId="55" xr:uid="{00000000-0005-0000-0000-000039000000}"/>
    <cellStyle name="標準 2 4" xfId="61" xr:uid="{0F337C2A-A711-4FEA-95BD-87DE5A489144}"/>
    <cellStyle name="標準 3" xfId="48" xr:uid="{00000000-0005-0000-0000-00003A000000}"/>
    <cellStyle name="標準 4" xfId="52" xr:uid="{00000000-0005-0000-0000-00003B000000}"/>
    <cellStyle name="未定義" xfId="50" xr:uid="{00000000-0005-0000-0000-00003C000000}"/>
    <cellStyle name="良い" xfId="8" builtinId="26" customBuiltin="1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workbookViewId="0"/>
  </sheetViews>
  <sheetFormatPr defaultRowHeight="15.75" x14ac:dyDescent="0.4"/>
  <cols>
    <col min="1" max="1" width="22.625" style="1" customWidth="1"/>
    <col min="2" max="2" width="60.625" style="1" customWidth="1"/>
    <col min="3" max="16384" width="9" style="1"/>
  </cols>
  <sheetData>
    <row r="1" spans="1:2" x14ac:dyDescent="0.25">
      <c r="A1" s="46" t="s">
        <v>103</v>
      </c>
      <c r="B1" s="48">
        <v>107.75</v>
      </c>
    </row>
    <row r="2" spans="1:2" x14ac:dyDescent="0.25">
      <c r="A2" s="46" t="s">
        <v>0</v>
      </c>
      <c r="B2" s="49" t="s">
        <v>146</v>
      </c>
    </row>
    <row r="3" spans="1:2" x14ac:dyDescent="0.25">
      <c r="A3" s="46" t="s">
        <v>1</v>
      </c>
      <c r="B3" s="50" t="s">
        <v>42</v>
      </c>
    </row>
    <row r="4" spans="1:2" x14ac:dyDescent="0.25">
      <c r="A4" s="46" t="s">
        <v>2</v>
      </c>
      <c r="B4" s="51">
        <v>34538</v>
      </c>
    </row>
    <row r="5" spans="1:2" x14ac:dyDescent="0.25">
      <c r="A5" s="46" t="s">
        <v>3</v>
      </c>
      <c r="B5" s="50" t="s">
        <v>43</v>
      </c>
    </row>
    <row r="6" spans="1:2" x14ac:dyDescent="0.25">
      <c r="A6" s="46" t="s">
        <v>4</v>
      </c>
      <c r="B6" s="50" t="s">
        <v>113</v>
      </c>
    </row>
    <row r="7" spans="1:2" x14ac:dyDescent="0.25">
      <c r="A7" s="46" t="s">
        <v>5</v>
      </c>
      <c r="B7" s="50" t="s">
        <v>44</v>
      </c>
    </row>
    <row r="8" spans="1:2" x14ac:dyDescent="0.25">
      <c r="A8" s="46" t="s">
        <v>6</v>
      </c>
      <c r="B8" s="50" t="s">
        <v>45</v>
      </c>
    </row>
    <row r="9" spans="1:2" x14ac:dyDescent="0.25">
      <c r="A9" s="46" t="s">
        <v>7</v>
      </c>
      <c r="B9" s="50" t="s">
        <v>46</v>
      </c>
    </row>
    <row r="10" spans="1:2" x14ac:dyDescent="0.25">
      <c r="A10" s="46" t="s">
        <v>8</v>
      </c>
      <c r="B10" s="50" t="s">
        <v>47</v>
      </c>
    </row>
    <row r="11" spans="1:2" x14ac:dyDescent="0.25">
      <c r="A11" s="46" t="s">
        <v>9</v>
      </c>
      <c r="B11" s="50" t="s">
        <v>48</v>
      </c>
    </row>
    <row r="12" spans="1:2" x14ac:dyDescent="0.25">
      <c r="A12" s="46" t="s">
        <v>10</v>
      </c>
      <c r="B12" s="50" t="s">
        <v>49</v>
      </c>
    </row>
    <row r="13" spans="1:2" x14ac:dyDescent="0.25">
      <c r="A13" s="46" t="s">
        <v>11</v>
      </c>
      <c r="B13" s="50" t="s">
        <v>50</v>
      </c>
    </row>
    <row r="14" spans="1:2" x14ac:dyDescent="0.25">
      <c r="A14" s="46" t="s">
        <v>12</v>
      </c>
      <c r="B14" s="50" t="s">
        <v>51</v>
      </c>
    </row>
    <row r="15" spans="1:2" x14ac:dyDescent="0.25">
      <c r="A15" s="46" t="s">
        <v>13</v>
      </c>
      <c r="B15" s="50" t="s">
        <v>52</v>
      </c>
    </row>
    <row r="16" spans="1:2" x14ac:dyDescent="0.25">
      <c r="A16" s="46" t="s">
        <v>14</v>
      </c>
      <c r="B16" s="52">
        <v>261000</v>
      </c>
    </row>
    <row r="17" spans="1:2" x14ac:dyDescent="0.25">
      <c r="A17" s="46" t="s">
        <v>15</v>
      </c>
      <c r="B17" s="50"/>
    </row>
    <row r="18" spans="1:2" x14ac:dyDescent="0.25">
      <c r="A18" s="46" t="s">
        <v>104</v>
      </c>
      <c r="B18" s="52">
        <v>182700</v>
      </c>
    </row>
    <row r="19" spans="1:2" x14ac:dyDescent="0.25">
      <c r="A19" s="46" t="s">
        <v>105</v>
      </c>
      <c r="B19" s="50"/>
    </row>
    <row r="20" spans="1:2" x14ac:dyDescent="0.25">
      <c r="A20" s="46" t="s">
        <v>16</v>
      </c>
      <c r="B20" s="52">
        <v>182700</v>
      </c>
    </row>
    <row r="21" spans="1:2" x14ac:dyDescent="0.25">
      <c r="A21" s="46" t="s">
        <v>17</v>
      </c>
      <c r="B21" s="52">
        <v>62525</v>
      </c>
    </row>
    <row r="22" spans="1:2" x14ac:dyDescent="0.25">
      <c r="A22" s="46" t="s">
        <v>18</v>
      </c>
      <c r="B22" s="51">
        <v>44682</v>
      </c>
    </row>
    <row r="23" spans="1:2" x14ac:dyDescent="0.25">
      <c r="A23" s="46" t="s">
        <v>19</v>
      </c>
      <c r="B23" s="53">
        <v>8</v>
      </c>
    </row>
    <row r="24" spans="1:2" x14ac:dyDescent="0.25">
      <c r="A24" s="46" t="s">
        <v>20</v>
      </c>
      <c r="B24" s="52">
        <v>130500</v>
      </c>
    </row>
    <row r="25" spans="1:2" x14ac:dyDescent="0.25">
      <c r="A25" s="46" t="s">
        <v>21</v>
      </c>
      <c r="B25" s="54">
        <v>3.3000000000000002E-2</v>
      </c>
    </row>
    <row r="26" spans="1:2" x14ac:dyDescent="0.25">
      <c r="A26" s="46" t="s">
        <v>22</v>
      </c>
      <c r="B26" s="55">
        <v>1.4749999999999999E-2</v>
      </c>
    </row>
    <row r="27" spans="1:2" x14ac:dyDescent="0.25">
      <c r="A27" s="46" t="s">
        <v>23</v>
      </c>
      <c r="B27" s="55">
        <v>1.8249999999999999E-2</v>
      </c>
    </row>
    <row r="28" spans="1:2" x14ac:dyDescent="0.25">
      <c r="A28" s="46" t="s">
        <v>24</v>
      </c>
      <c r="B28" s="56">
        <v>0</v>
      </c>
    </row>
    <row r="29" spans="1:2" x14ac:dyDescent="0.25">
      <c r="A29" s="46" t="s">
        <v>106</v>
      </c>
      <c r="B29" s="50" t="s">
        <v>98</v>
      </c>
    </row>
    <row r="30" spans="1:2" x14ac:dyDescent="0.25">
      <c r="A30" s="46" t="s">
        <v>107</v>
      </c>
      <c r="B30" s="50" t="s">
        <v>99</v>
      </c>
    </row>
    <row r="31" spans="1:2" x14ac:dyDescent="0.25">
      <c r="A31" s="46" t="s">
        <v>108</v>
      </c>
      <c r="B31" s="50" t="s">
        <v>100</v>
      </c>
    </row>
    <row r="32" spans="1:2" x14ac:dyDescent="0.25">
      <c r="A32" s="46" t="s">
        <v>25</v>
      </c>
      <c r="B32" s="57">
        <v>3086.33</v>
      </c>
    </row>
    <row r="33" spans="1:2" x14ac:dyDescent="0.25">
      <c r="A33" s="46" t="s">
        <v>26</v>
      </c>
      <c r="B33" s="57">
        <v>208.57</v>
      </c>
    </row>
    <row r="34" spans="1:2" x14ac:dyDescent="0.25">
      <c r="A34" s="46" t="s">
        <v>27</v>
      </c>
      <c r="B34" s="50" t="s">
        <v>101</v>
      </c>
    </row>
    <row r="35" spans="1:2" x14ac:dyDescent="0.25">
      <c r="A35" s="46" t="s">
        <v>28</v>
      </c>
      <c r="B35" s="52">
        <v>198462</v>
      </c>
    </row>
    <row r="36" spans="1:2" x14ac:dyDescent="0.25">
      <c r="A36" s="46" t="s">
        <v>29</v>
      </c>
      <c r="B36" s="58">
        <v>2005</v>
      </c>
    </row>
    <row r="37" spans="1:2" x14ac:dyDescent="0.25">
      <c r="A37" s="46" t="s">
        <v>30</v>
      </c>
      <c r="B37" s="56">
        <v>20000</v>
      </c>
    </row>
    <row r="38" spans="1:2" x14ac:dyDescent="0.25">
      <c r="A38" s="46" t="s">
        <v>31</v>
      </c>
      <c r="B38" s="56">
        <v>3500</v>
      </c>
    </row>
    <row r="39" spans="1:2" x14ac:dyDescent="0.25">
      <c r="A39" s="46" t="s">
        <v>32</v>
      </c>
      <c r="B39" s="59">
        <v>10</v>
      </c>
    </row>
    <row r="40" spans="1:2" x14ac:dyDescent="0.25">
      <c r="A40" s="46" t="s">
        <v>33</v>
      </c>
      <c r="B40" s="60">
        <v>120</v>
      </c>
    </row>
    <row r="41" spans="1:2" x14ac:dyDescent="0.25">
      <c r="A41" s="46" t="s">
        <v>34</v>
      </c>
      <c r="B41" s="51">
        <v>44378</v>
      </c>
    </row>
    <row r="42" spans="1:2" x14ac:dyDescent="0.25">
      <c r="A42" s="46" t="s">
        <v>35</v>
      </c>
      <c r="B42" s="51">
        <v>48000</v>
      </c>
    </row>
    <row r="43" spans="1:2" x14ac:dyDescent="0.25">
      <c r="A43" s="46" t="s">
        <v>109</v>
      </c>
      <c r="B43" s="51">
        <v>44343</v>
      </c>
    </row>
    <row r="44" spans="1:2" x14ac:dyDescent="0.25">
      <c r="A44" s="46" t="s">
        <v>170</v>
      </c>
      <c r="B44" s="50"/>
    </row>
    <row r="45" spans="1:2" x14ac:dyDescent="0.25">
      <c r="A45" s="46" t="s">
        <v>171</v>
      </c>
      <c r="B45" s="50"/>
    </row>
    <row r="46" spans="1:2" x14ac:dyDescent="0.25">
      <c r="A46" s="46" t="s">
        <v>172</v>
      </c>
      <c r="B46" s="50"/>
    </row>
    <row r="47" spans="1:2" x14ac:dyDescent="0.25">
      <c r="A47" s="46" t="s">
        <v>173</v>
      </c>
      <c r="B47" s="50" t="s">
        <v>102</v>
      </c>
    </row>
    <row r="48" spans="1:2" x14ac:dyDescent="0.25">
      <c r="A48" s="46" t="s">
        <v>36</v>
      </c>
      <c r="B48" s="51">
        <v>44328</v>
      </c>
    </row>
    <row r="49" spans="1:2" x14ac:dyDescent="0.25">
      <c r="A49" s="46" t="s">
        <v>37</v>
      </c>
      <c r="B49" s="51">
        <v>44336</v>
      </c>
    </row>
    <row r="50" spans="1:2" x14ac:dyDescent="0.25">
      <c r="A50" s="46" t="s">
        <v>38</v>
      </c>
      <c r="B50" s="50" t="s">
        <v>53</v>
      </c>
    </row>
    <row r="51" spans="1:2" x14ac:dyDescent="0.25">
      <c r="A51" s="46" t="s">
        <v>39</v>
      </c>
      <c r="B51" s="50" t="s">
        <v>97</v>
      </c>
    </row>
    <row r="52" spans="1:2" x14ac:dyDescent="0.25">
      <c r="A52" s="46" t="s">
        <v>175</v>
      </c>
      <c r="B52" s="50" t="s">
        <v>54</v>
      </c>
    </row>
    <row r="53" spans="1:2" ht="31.5" x14ac:dyDescent="0.25">
      <c r="A53" s="46" t="s">
        <v>176</v>
      </c>
      <c r="B53" s="50" t="s">
        <v>55</v>
      </c>
    </row>
    <row r="54" spans="1:2" x14ac:dyDescent="0.25">
      <c r="A54" s="46" t="s">
        <v>110</v>
      </c>
      <c r="B54" s="50"/>
    </row>
    <row r="55" spans="1:2" x14ac:dyDescent="0.25">
      <c r="A55" s="46" t="s">
        <v>40</v>
      </c>
      <c r="B55" s="51"/>
    </row>
    <row r="56" spans="1:2" x14ac:dyDescent="0.25">
      <c r="A56" s="46" t="s">
        <v>41</v>
      </c>
      <c r="B56" s="61">
        <f>B18/B16</f>
        <v>0.7</v>
      </c>
    </row>
    <row r="57" spans="1:2" x14ac:dyDescent="0.25">
      <c r="A57" s="2" t="s">
        <v>111</v>
      </c>
      <c r="B57" s="62" t="s">
        <v>112</v>
      </c>
    </row>
    <row r="58" spans="1:2" x14ac:dyDescent="0.25">
      <c r="A58" s="2" t="s">
        <v>177</v>
      </c>
      <c r="B58" s="62" t="str">
        <f>IF(LENB(B31)&gt;1,LEFT(B31,2),"")</f>
        <v>GA</v>
      </c>
    </row>
    <row r="59" spans="1:2" x14ac:dyDescent="0.25">
      <c r="A59" s="2" t="s">
        <v>178</v>
      </c>
      <c r="B59" s="63">
        <f ca="1">TODAY()</f>
        <v>44581</v>
      </c>
    </row>
    <row r="60" spans="1:2" x14ac:dyDescent="0.4">
      <c r="A60" s="3" t="s">
        <v>114</v>
      </c>
      <c r="B60" s="64">
        <f>IF(INDEX(固定値!D$3:H$19,MATCH(B$2,固定値!B$3:B$19,0),1)&gt;0,INDEX(固定値!D$3:H$19,MATCH(B$2,固定値!B$3:B$19,0),1),"")</f>
        <v>8</v>
      </c>
    </row>
    <row r="61" spans="1:2" x14ac:dyDescent="0.4">
      <c r="A61" s="3" t="s">
        <v>115</v>
      </c>
      <c r="B61" s="44">
        <f>IF(INDEX(固定値!D$3:H$19,MATCH(B$2,固定値!B$3:B$19,0),2)&gt;0,INDEX(固定値!D$3:H$19,MATCH(B$2,固定値!B$3:B$19,0),2),"")</f>
        <v>5</v>
      </c>
    </row>
    <row r="62" spans="1:2" x14ac:dyDescent="0.4">
      <c r="A62" s="3" t="s">
        <v>116</v>
      </c>
      <c r="B62" s="65">
        <f>IF(INDEX(固定値!D$3:H$19,MATCH(B$2,固定値!B$3:B$19,0),3)&gt;0,INDEX(固定値!D$3:H$19,MATCH(B$2,固定値!B$3:B$19,0),3),0)</f>
        <v>0.5</v>
      </c>
    </row>
    <row r="63" spans="1:2" x14ac:dyDescent="0.4">
      <c r="A63" s="3" t="s">
        <v>117</v>
      </c>
      <c r="B63" s="65">
        <f>IF(INDEX(固定値!D$3:H$19,MATCH(B$2,固定値!B$3:B$19,0),4)&gt;0,INDEX(固定値!D$3:H$19,MATCH(B$2,固定値!B$3:B$19,0),4),0)</f>
        <v>0.01</v>
      </c>
    </row>
    <row r="64" spans="1:2" x14ac:dyDescent="0.4">
      <c r="A64" s="3" t="s">
        <v>118</v>
      </c>
      <c r="B64" s="65">
        <f>IF(INDEX(固定値!D$3:H$19,MATCH(B$2,固定値!B$3:B$19,0),5)&gt;0,INDEX(固定値!D$3:H$19,MATCH(B$2,固定値!B$3:B$19,0),5),0)</f>
        <v>0.1</v>
      </c>
    </row>
    <row r="65" spans="1:2" x14ac:dyDescent="0.4">
      <c r="A65" s="45" t="s">
        <v>164</v>
      </c>
      <c r="B65" s="66">
        <f>B41</f>
        <v>44378</v>
      </c>
    </row>
    <row r="66" spans="1:2" x14ac:dyDescent="0.4">
      <c r="A66" s="45" t="s">
        <v>165</v>
      </c>
      <c r="B66" s="66">
        <f>B42</f>
        <v>48000</v>
      </c>
    </row>
    <row r="67" spans="1:2" x14ac:dyDescent="0.4">
      <c r="A67" s="45" t="s">
        <v>166</v>
      </c>
      <c r="B67" s="66">
        <f>B43</f>
        <v>44343</v>
      </c>
    </row>
    <row r="68" spans="1:2" x14ac:dyDescent="0.4">
      <c r="A68" s="45" t="s">
        <v>167</v>
      </c>
      <c r="B68" s="66">
        <f>B48</f>
        <v>44328</v>
      </c>
    </row>
    <row r="69" spans="1:2" x14ac:dyDescent="0.4">
      <c r="A69" s="45" t="s">
        <v>168</v>
      </c>
      <c r="B69" s="66">
        <f>B49</f>
        <v>44336</v>
      </c>
    </row>
    <row r="70" spans="1:2" x14ac:dyDescent="0.4">
      <c r="A70" s="45" t="s">
        <v>169</v>
      </c>
      <c r="B70" s="66">
        <f>B41</f>
        <v>44378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6F49C22A-65A6-4B98-B172-CD5E611057F8}">
          <x14:formula1>
            <xm:f>固定値!$B$3:$B$19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158E-7879-4D28-AA9A-28137B4D8DA2}">
  <sheetPr>
    <pageSetUpPr fitToPage="1"/>
  </sheetPr>
  <dimension ref="A1:M24"/>
  <sheetViews>
    <sheetView tabSelected="1" zoomScaleNormal="100" workbookViewId="0">
      <selection sqref="A1:J1"/>
    </sheetView>
  </sheetViews>
  <sheetFormatPr defaultRowHeight="15.75" x14ac:dyDescent="0.4"/>
  <cols>
    <col min="1" max="2" width="15.625" style="1" customWidth="1"/>
    <col min="3" max="3" width="9" style="1"/>
    <col min="4" max="9" width="15.625" style="1" customWidth="1"/>
    <col min="10" max="10" width="6.875" style="1" bestFit="1" customWidth="1"/>
    <col min="11" max="16384" width="9" style="1"/>
  </cols>
  <sheetData>
    <row r="1" spans="1:10" ht="33" customHeight="1" thickBot="1" x14ac:dyDescent="0.45">
      <c r="A1" s="71" t="str">
        <f>入力シート!B2&amp;" 実質年率計算シート（"&amp;入力シート!B39&amp;" 毎月利息弁済 毎年"&amp;F5&amp;"月元金定額弁済・最終残元金弁済）"</f>
        <v>コバルト70 実質年率計算シート（10 毎月利息弁済 毎年5月元金定額弁済・最終残元金弁済）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x14ac:dyDescent="0.4">
      <c r="A2" s="8"/>
      <c r="B2" s="8"/>
      <c r="C2" s="8"/>
      <c r="D2" s="9"/>
      <c r="E2" s="9"/>
      <c r="F2" s="74" t="str">
        <f>入力シート!B47</f>
        <v>2610 Runic Way, Alpharetta, GA 30022</v>
      </c>
      <c r="G2" s="74"/>
      <c r="H2" s="74"/>
      <c r="I2" s="74"/>
      <c r="J2" s="74"/>
    </row>
    <row r="3" spans="1:10" ht="33" customHeight="1" x14ac:dyDescent="0.4">
      <c r="A3" s="12" t="s">
        <v>179</v>
      </c>
      <c r="B3" s="14" t="str">
        <f>入力シート!B3</f>
        <v>田中 太郎</v>
      </c>
      <c r="C3" s="8"/>
      <c r="D3" s="9"/>
      <c r="E3" s="9"/>
      <c r="F3" s="9"/>
      <c r="G3" s="9"/>
      <c r="H3" s="9"/>
      <c r="I3" s="9"/>
    </row>
    <row r="4" spans="1:10" ht="33" customHeight="1" x14ac:dyDescent="0.4">
      <c r="A4" s="12" t="s">
        <v>14</v>
      </c>
      <c r="B4" s="15">
        <f>入力シート!B16</f>
        <v>261000</v>
      </c>
      <c r="C4" s="8"/>
      <c r="D4" s="9"/>
      <c r="E4" s="13" t="s">
        <v>114</v>
      </c>
      <c r="F4" s="25">
        <f>入力シート!B60</f>
        <v>8</v>
      </c>
      <c r="G4" s="12" t="s">
        <v>116</v>
      </c>
      <c r="H4" s="26">
        <f>入力シート!B62</f>
        <v>0.5</v>
      </c>
    </row>
    <row r="5" spans="1:10" ht="33" customHeight="1" x14ac:dyDescent="0.4">
      <c r="A5" s="12" t="s">
        <v>119</v>
      </c>
      <c r="B5" s="18">
        <f>入力シート!B56</f>
        <v>0.7</v>
      </c>
      <c r="C5" s="8"/>
      <c r="D5" s="8"/>
      <c r="E5" s="12" t="s">
        <v>115</v>
      </c>
      <c r="F5" s="25">
        <f>入力シート!B61</f>
        <v>5</v>
      </c>
      <c r="G5" s="27" t="s">
        <v>128</v>
      </c>
      <c r="H5" s="28" t="e">
        <f>#REF!/(B4*B7)</f>
        <v>#REF!</v>
      </c>
    </row>
    <row r="6" spans="1:10" ht="33" customHeight="1" x14ac:dyDescent="0.4">
      <c r="A6" s="12" t="s">
        <v>56</v>
      </c>
      <c r="B6" s="19">
        <f>入力シート!B18</f>
        <v>182700</v>
      </c>
      <c r="C6" s="8"/>
      <c r="D6" s="8"/>
      <c r="E6" s="9"/>
      <c r="F6" s="9"/>
      <c r="G6" s="9"/>
      <c r="H6" s="9"/>
      <c r="I6" s="9"/>
    </row>
    <row r="7" spans="1:10" ht="33" customHeight="1" x14ac:dyDescent="0.4">
      <c r="A7" s="12" t="s">
        <v>120</v>
      </c>
      <c r="B7" s="20">
        <f>B9+0.99</f>
        <v>108.74</v>
      </c>
      <c r="C7" s="8"/>
      <c r="D7" s="8"/>
      <c r="E7" s="12" t="s">
        <v>57</v>
      </c>
      <c r="F7" s="24" t="e">
        <f>ROUNDDOWN((H7)/#REF!,5)</f>
        <v>#REF!</v>
      </c>
      <c r="G7" s="13" t="s">
        <v>127</v>
      </c>
      <c r="H7" s="21" t="e">
        <f>#REF!+#REF!</f>
        <v>#REF!</v>
      </c>
      <c r="I7" s="9"/>
    </row>
    <row r="8" spans="1:10" ht="33" customHeight="1" x14ac:dyDescent="0.4">
      <c r="A8" s="12" t="s">
        <v>58</v>
      </c>
      <c r="B8" s="21">
        <f>ROUND(B6*B7,0)</f>
        <v>19866798</v>
      </c>
      <c r="C8" s="8"/>
      <c r="D8" s="8"/>
      <c r="E8" s="13" t="s">
        <v>59</v>
      </c>
      <c r="F8" s="21" t="e">
        <f>#REF!+#REF!</f>
        <v>#REF!</v>
      </c>
      <c r="G8" s="12" t="s">
        <v>60</v>
      </c>
      <c r="H8" s="21" t="e">
        <f>ABS(#REF!)</f>
        <v>#REF!</v>
      </c>
      <c r="I8" s="9"/>
    </row>
    <row r="9" spans="1:10" ht="33" customHeight="1" x14ac:dyDescent="0.4">
      <c r="A9" s="13" t="s">
        <v>121</v>
      </c>
      <c r="B9" s="47">
        <f>入力シート!B1</f>
        <v>107.75</v>
      </c>
      <c r="C9" s="8"/>
      <c r="D9" s="8"/>
      <c r="E9" s="9"/>
      <c r="F9" s="9"/>
      <c r="G9" s="9"/>
      <c r="H9" s="9"/>
      <c r="I9" s="9"/>
    </row>
    <row r="10" spans="1:10" ht="33" customHeight="1" x14ac:dyDescent="0.4">
      <c r="A10" s="12" t="s">
        <v>61</v>
      </c>
      <c r="B10" s="21">
        <f>INT(B6*B9)</f>
        <v>19685925</v>
      </c>
      <c r="C10" s="8"/>
      <c r="D10" s="8"/>
      <c r="E10" s="12" t="s">
        <v>62</v>
      </c>
      <c r="F10" s="21">
        <f>E24</f>
        <v>54633</v>
      </c>
      <c r="G10" s="13" t="s">
        <v>122</v>
      </c>
      <c r="H10" s="21">
        <f>INT(B4*B7*((B5-H4)/F4))</f>
        <v>709528</v>
      </c>
      <c r="I10" s="9"/>
    </row>
    <row r="11" spans="1:10" ht="33" customHeight="1" x14ac:dyDescent="0.4">
      <c r="A11" s="12" t="s">
        <v>63</v>
      </c>
      <c r="B11" s="21">
        <f>B8-B10</f>
        <v>180873</v>
      </c>
      <c r="C11" s="8"/>
      <c r="D11" s="8"/>
      <c r="E11" s="12" t="s">
        <v>64</v>
      </c>
      <c r="F11" s="21" t="e">
        <f>#REF!+#REF!</f>
        <v>#REF!</v>
      </c>
      <c r="G11" s="9"/>
      <c r="H11" s="9"/>
      <c r="I11" s="9"/>
    </row>
    <row r="12" spans="1:10" ht="33" customHeight="1" x14ac:dyDescent="0.4">
      <c r="A12" s="12" t="s">
        <v>31</v>
      </c>
      <c r="B12" s="21">
        <f>入力シート!B38</f>
        <v>3500</v>
      </c>
      <c r="C12" s="8"/>
      <c r="D12" s="8"/>
      <c r="E12" s="12" t="s">
        <v>123</v>
      </c>
      <c r="F12" s="21" t="e">
        <f>VLOOKUP(入力シート!B22,B22:F24,5,0)</f>
        <v>#N/A</v>
      </c>
      <c r="G12" s="9"/>
      <c r="H12" s="9"/>
      <c r="I12" s="9"/>
    </row>
    <row r="13" spans="1:10" x14ac:dyDescent="0.4">
      <c r="A13" s="8"/>
      <c r="B13" s="10"/>
      <c r="C13" s="8"/>
      <c r="D13" s="8"/>
      <c r="E13" s="9"/>
      <c r="F13" s="9"/>
      <c r="G13" s="9"/>
      <c r="H13" s="9"/>
      <c r="I13" s="9"/>
    </row>
    <row r="14" spans="1:10" ht="33" customHeight="1" x14ac:dyDescent="0.4">
      <c r="A14" s="12" t="s">
        <v>21</v>
      </c>
      <c r="B14" s="16">
        <f>入力シート!B25</f>
        <v>3.3000000000000002E-2</v>
      </c>
      <c r="C14" s="8"/>
      <c r="D14" s="8"/>
      <c r="E14" s="9"/>
      <c r="F14" s="9"/>
      <c r="G14" s="9"/>
      <c r="H14" s="9"/>
      <c r="I14" s="9"/>
    </row>
    <row r="15" spans="1:10" x14ac:dyDescent="0.4">
      <c r="A15" s="8"/>
      <c r="B15" s="11"/>
      <c r="C15" s="8"/>
      <c r="D15" s="8"/>
      <c r="E15" s="9"/>
      <c r="F15" s="9"/>
      <c r="G15" s="9"/>
      <c r="H15" s="9"/>
      <c r="I15" s="9"/>
    </row>
    <row r="16" spans="1:10" ht="33" customHeight="1" x14ac:dyDescent="0.4">
      <c r="A16" s="12" t="s">
        <v>24</v>
      </c>
      <c r="B16" s="21">
        <f>INT(INT(B8*E16)*(1+E17))</f>
        <v>218533</v>
      </c>
      <c r="C16" s="8"/>
      <c r="D16" s="12" t="s">
        <v>65</v>
      </c>
      <c r="E16" s="16">
        <f>入力シート!B63</f>
        <v>0.01</v>
      </c>
      <c r="F16" s="9"/>
      <c r="G16" s="12" t="s">
        <v>66</v>
      </c>
      <c r="H16" s="9"/>
      <c r="I16" s="12" t="s">
        <v>67</v>
      </c>
    </row>
    <row r="17" spans="1:13" ht="33" customHeight="1" x14ac:dyDescent="0.4">
      <c r="A17" s="9"/>
      <c r="B17" s="9"/>
      <c r="C17" s="8"/>
      <c r="D17" s="12" t="s">
        <v>68</v>
      </c>
      <c r="E17" s="17">
        <f>入力シート!B64</f>
        <v>0.1</v>
      </c>
      <c r="F17" s="9"/>
      <c r="G17" s="22">
        <f>WORKDAY(入力シート!B49,-3,休日!A2:A51)</f>
        <v>44333</v>
      </c>
      <c r="H17" s="9"/>
      <c r="I17" s="23">
        <f>IF(入力シート!B49="","",DATE(YEAR(入力シート!B49),MONTH(入力シート!B49)+1,0)-入力シート!B49+1)</f>
        <v>12</v>
      </c>
    </row>
    <row r="18" spans="1:13" ht="33" customHeight="1" x14ac:dyDescent="0.4">
      <c r="A18" s="9"/>
      <c r="B18" s="9"/>
      <c r="C18" s="8"/>
      <c r="D18" s="8"/>
      <c r="E18" s="9"/>
      <c r="F18" s="9"/>
      <c r="G18" s="9"/>
      <c r="H18" s="9"/>
      <c r="I18" s="12" t="s">
        <v>69</v>
      </c>
    </row>
    <row r="19" spans="1:13" ht="33" customHeight="1" x14ac:dyDescent="0.4">
      <c r="A19" s="9"/>
      <c r="B19" s="9"/>
      <c r="C19" s="8"/>
      <c r="D19" s="8"/>
      <c r="E19" s="9"/>
      <c r="F19" s="9"/>
      <c r="G19" s="9"/>
      <c r="H19" s="9"/>
      <c r="I19" s="21">
        <f>INT(B8*B14*I17/365)</f>
        <v>21554</v>
      </c>
    </row>
    <row r="20" spans="1:13" x14ac:dyDescent="0.4">
      <c r="C20" s="4"/>
      <c r="D20" s="4"/>
    </row>
    <row r="21" spans="1:13" x14ac:dyDescent="0.4">
      <c r="A21" s="67" t="s">
        <v>70</v>
      </c>
      <c r="B21" s="67" t="s">
        <v>71</v>
      </c>
      <c r="C21" s="68" t="s">
        <v>174</v>
      </c>
      <c r="D21" s="67" t="s">
        <v>72</v>
      </c>
      <c r="E21" s="67" t="s">
        <v>73</v>
      </c>
      <c r="F21" s="67" t="s">
        <v>74</v>
      </c>
      <c r="G21" s="67" t="s">
        <v>75</v>
      </c>
      <c r="H21" s="67" t="s">
        <v>76</v>
      </c>
      <c r="I21" s="67" t="s">
        <v>77</v>
      </c>
      <c r="J21" s="67" t="s">
        <v>78</v>
      </c>
      <c r="K21" s="4"/>
      <c r="L21" s="4" t="s">
        <v>126</v>
      </c>
      <c r="M21" s="4" t="s">
        <v>124</v>
      </c>
    </row>
    <row r="22" spans="1:13" x14ac:dyDescent="0.4">
      <c r="A22" s="29">
        <v>0</v>
      </c>
      <c r="B22" s="69">
        <f>入力シート!B49</f>
        <v>44336</v>
      </c>
      <c r="C22" s="31" t="str">
        <f t="shared" ref="C22:C24" si="0">IF(AND(L22=1,F$4&gt;=M22),M22,"")</f>
        <v/>
      </c>
      <c r="D22" s="70">
        <f>B16+B11+B12</f>
        <v>402906</v>
      </c>
      <c r="E22" s="31">
        <v>0</v>
      </c>
      <c r="F22" s="33">
        <f>IF(C22&lt;&gt;"",H$10,0)</f>
        <v>0</v>
      </c>
      <c r="G22" s="31">
        <f>B8-F22</f>
        <v>19866798</v>
      </c>
      <c r="H22" s="31">
        <f>IF(G22&gt;0,G22,0)</f>
        <v>19866798</v>
      </c>
      <c r="I22" s="32"/>
      <c r="J22" s="31"/>
      <c r="K22" s="4"/>
      <c r="L22" s="5">
        <f>IF(AND(B22&gt;=入力シート!B$22,A22&lt;入力シート!B$40),IF(MONTH(B22)=F$5,1,0),0)</f>
        <v>0</v>
      </c>
      <c r="M22" s="4">
        <f>SUM(L$22:L22)</f>
        <v>0</v>
      </c>
    </row>
    <row r="23" spans="1:13" x14ac:dyDescent="0.4">
      <c r="A23" s="29">
        <f>A22+1</f>
        <v>1</v>
      </c>
      <c r="B23" s="69">
        <f>DATE(YEAR(B22),MONTH(B22)+2,1)</f>
        <v>44378</v>
      </c>
      <c r="C23" s="31" t="str">
        <f t="shared" si="0"/>
        <v/>
      </c>
      <c r="D23" s="33"/>
      <c r="E23" s="70">
        <f>INT(G22*B$14/12)+I19</f>
        <v>76187</v>
      </c>
      <c r="F23" s="33">
        <f t="shared" ref="F23:F24" si="1">IF(C23&lt;&gt;"",H$10,0)</f>
        <v>0</v>
      </c>
      <c r="G23" s="33">
        <f>G22-F23</f>
        <v>19866798</v>
      </c>
      <c r="H23" s="31">
        <f>IF(G23&gt;0,G23,0)</f>
        <v>19866798</v>
      </c>
      <c r="I23" s="33">
        <f>IF(G22&gt;0,ROUNDDOWN(H22*J23/365,0),0)</f>
        <v>2286042</v>
      </c>
      <c r="J23" s="33">
        <f>DATEDIF(B22,B23,"d")</f>
        <v>42</v>
      </c>
      <c r="K23" s="4"/>
      <c r="L23" s="5">
        <f>IF(AND(B23&gt;=入力シート!B$22,A23&lt;入力シート!B$40),IF(MONTH(B23)=F$5,1,0),0)</f>
        <v>0</v>
      </c>
      <c r="M23" s="4">
        <f>SUM(L$22:L23)</f>
        <v>0</v>
      </c>
    </row>
    <row r="24" spans="1:13" x14ac:dyDescent="0.4">
      <c r="A24" s="29">
        <f t="shared" ref="A24" si="2">A23+1</f>
        <v>2</v>
      </c>
      <c r="B24" s="30">
        <f>EDATE(B23,1)</f>
        <v>44409</v>
      </c>
      <c r="C24" s="31" t="str">
        <f t="shared" si="0"/>
        <v/>
      </c>
      <c r="D24" s="33"/>
      <c r="E24" s="33">
        <f>INT(G23*B$14/12)</f>
        <v>54633</v>
      </c>
      <c r="F24" s="33">
        <f t="shared" si="1"/>
        <v>0</v>
      </c>
      <c r="G24" s="33">
        <f>G23-F24</f>
        <v>19866798</v>
      </c>
      <c r="H24" s="31">
        <f>IF(G24&gt;0,G24,0)</f>
        <v>19866798</v>
      </c>
      <c r="I24" s="33">
        <f t="shared" ref="I24" si="3">IF(G23&gt;0,ROUNDDOWN(H23*J24/365,0),0)</f>
        <v>1687317</v>
      </c>
      <c r="J24" s="33">
        <f t="shared" ref="J24" si="4">DATEDIF(B23,B24,"d")</f>
        <v>31</v>
      </c>
      <c r="K24" s="4"/>
      <c r="L24" s="5">
        <f>IF(AND(B24&gt;=入力シート!B$22,A24&lt;入力シート!B$40),IF(MONTH(B24)=F$5,1,0),0)</f>
        <v>0</v>
      </c>
      <c r="M24" s="4">
        <f>SUM(L$22:L24)</f>
        <v>0</v>
      </c>
    </row>
  </sheetData>
  <mergeCells count="2">
    <mergeCell ref="A1:J1"/>
    <mergeCell ref="F2:J2"/>
  </mergeCells>
  <phoneticPr fontId="2"/>
  <conditionalFormatting sqref="F22:F24">
    <cfRule type="cellIs" dxfId="0" priority="1" operator="greaterThan">
      <formula>0</formula>
    </cfRule>
  </conditionalFormatting>
  <pageMargins left="0.98425196850393704" right="0.59055118110236227" top="0.78740157480314965" bottom="0.78740157480314965" header="0.47244094488188981" footer="0.47244094488188981"/>
  <pageSetup paperSize="9" scale="55" fitToHeight="0" orientation="portrait" r:id="rId1"/>
  <headerFooter>
    <oddHeader>&amp;L&amp;"Meiryo UI,標準"&amp;9&amp;K00-048&amp;F&amp;C&amp;"Meiryo UI,標準"&amp;9&amp;K00-049　&amp;R&amp;"Meiryo UI,標準"&amp;9&amp;K00-049　</oddHeader>
    <oddFooter>&amp;L&amp;"Meiryo UI,標準"&amp;9&amp;K00-047　&amp;C&amp;"Meiryo UI,標準"&amp;9&amp;K00-047&amp;P&amp;R&amp;"Meiryo UI,標準"&amp;9&amp;K00-047●州国●_●商品区分●_20211001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RowHeight="15.75" x14ac:dyDescent="0.4"/>
  <cols>
    <col min="1" max="1" width="17" style="1" bestFit="1" customWidth="1"/>
    <col min="2" max="2" width="29.625" style="1" bestFit="1" customWidth="1"/>
    <col min="3" max="16384" width="9" style="1"/>
  </cols>
  <sheetData>
    <row r="1" spans="1:2" x14ac:dyDescent="0.4">
      <c r="A1" s="1" t="s">
        <v>79</v>
      </c>
    </row>
    <row r="2" spans="1:2" x14ac:dyDescent="0.4">
      <c r="A2" s="6">
        <v>44197</v>
      </c>
      <c r="B2" s="1" t="s">
        <v>80</v>
      </c>
    </row>
    <row r="3" spans="1:2" x14ac:dyDescent="0.4">
      <c r="A3" s="6">
        <v>44207</v>
      </c>
      <c r="B3" s="1" t="s">
        <v>81</v>
      </c>
    </row>
    <row r="4" spans="1:2" x14ac:dyDescent="0.4">
      <c r="A4" s="6">
        <v>44238</v>
      </c>
      <c r="B4" s="1" t="s">
        <v>82</v>
      </c>
    </row>
    <row r="5" spans="1:2" x14ac:dyDescent="0.4">
      <c r="A5" s="6">
        <v>44250</v>
      </c>
      <c r="B5" s="1" t="s">
        <v>83</v>
      </c>
    </row>
    <row r="6" spans="1:2" x14ac:dyDescent="0.4">
      <c r="A6" s="6">
        <v>44275</v>
      </c>
      <c r="B6" s="1" t="s">
        <v>84</v>
      </c>
    </row>
    <row r="7" spans="1:2" x14ac:dyDescent="0.4">
      <c r="A7" s="6">
        <v>44315</v>
      </c>
      <c r="B7" s="1" t="s">
        <v>85</v>
      </c>
    </row>
    <row r="8" spans="1:2" x14ac:dyDescent="0.4">
      <c r="A8" s="6">
        <v>44319</v>
      </c>
      <c r="B8" s="1" t="s">
        <v>86</v>
      </c>
    </row>
    <row r="9" spans="1:2" x14ac:dyDescent="0.4">
      <c r="A9" s="6">
        <v>44320</v>
      </c>
      <c r="B9" s="1" t="s">
        <v>87</v>
      </c>
    </row>
    <row r="10" spans="1:2" x14ac:dyDescent="0.4">
      <c r="A10" s="6">
        <v>44321</v>
      </c>
      <c r="B10" s="1" t="s">
        <v>88</v>
      </c>
    </row>
    <row r="11" spans="1:2" x14ac:dyDescent="0.4">
      <c r="A11" s="6">
        <v>44399</v>
      </c>
      <c r="B11" s="1" t="s">
        <v>89</v>
      </c>
    </row>
    <row r="12" spans="1:2" x14ac:dyDescent="0.4">
      <c r="A12" s="6">
        <v>44400</v>
      </c>
      <c r="B12" s="1" t="s">
        <v>90</v>
      </c>
    </row>
    <row r="13" spans="1:2" x14ac:dyDescent="0.4">
      <c r="A13" s="6">
        <v>44416</v>
      </c>
      <c r="B13" s="1" t="s">
        <v>91</v>
      </c>
    </row>
    <row r="14" spans="1:2" x14ac:dyDescent="0.4">
      <c r="A14" s="6">
        <v>44417</v>
      </c>
      <c r="B14" s="1" t="s">
        <v>92</v>
      </c>
    </row>
    <row r="15" spans="1:2" x14ac:dyDescent="0.4">
      <c r="A15" s="6">
        <v>44459</v>
      </c>
      <c r="B15" s="1" t="s">
        <v>93</v>
      </c>
    </row>
    <row r="16" spans="1:2" x14ac:dyDescent="0.4">
      <c r="A16" s="6">
        <v>44462</v>
      </c>
      <c r="B16" s="1" t="s">
        <v>94</v>
      </c>
    </row>
    <row r="17" spans="1:2" x14ac:dyDescent="0.4">
      <c r="A17" s="6">
        <v>44503</v>
      </c>
      <c r="B17" s="1" t="s">
        <v>95</v>
      </c>
    </row>
    <row r="18" spans="1:2" x14ac:dyDescent="0.4">
      <c r="A18" s="6">
        <v>44523</v>
      </c>
      <c r="B18" s="1" t="s">
        <v>96</v>
      </c>
    </row>
    <row r="19" spans="1:2" x14ac:dyDescent="0.4">
      <c r="A19" s="6">
        <v>44562</v>
      </c>
      <c r="B19" s="1" t="s">
        <v>80</v>
      </c>
    </row>
    <row r="20" spans="1:2" x14ac:dyDescent="0.4">
      <c r="A20" s="6">
        <v>44571</v>
      </c>
      <c r="B20" s="1" t="s">
        <v>81</v>
      </c>
    </row>
    <row r="21" spans="1:2" x14ac:dyDescent="0.4">
      <c r="A21" s="6">
        <v>44603</v>
      </c>
      <c r="B21" s="1" t="s">
        <v>82</v>
      </c>
    </row>
    <row r="22" spans="1:2" x14ac:dyDescent="0.4">
      <c r="A22" s="6">
        <v>44615</v>
      </c>
      <c r="B22" s="1" t="s">
        <v>83</v>
      </c>
    </row>
    <row r="23" spans="1:2" x14ac:dyDescent="0.4">
      <c r="A23" s="6">
        <v>44641</v>
      </c>
      <c r="B23" s="1" t="s">
        <v>84</v>
      </c>
    </row>
    <row r="24" spans="1:2" x14ac:dyDescent="0.4">
      <c r="A24" s="6">
        <v>44680</v>
      </c>
      <c r="B24" s="1" t="s">
        <v>85</v>
      </c>
    </row>
    <row r="25" spans="1:2" x14ac:dyDescent="0.4">
      <c r="A25" s="6">
        <v>44684</v>
      </c>
      <c r="B25" s="1" t="s">
        <v>86</v>
      </c>
    </row>
    <row r="26" spans="1:2" x14ac:dyDescent="0.4">
      <c r="A26" s="6">
        <v>44685</v>
      </c>
      <c r="B26" s="1" t="s">
        <v>87</v>
      </c>
    </row>
    <row r="27" spans="1:2" x14ac:dyDescent="0.4">
      <c r="A27" s="6">
        <v>44686</v>
      </c>
      <c r="B27" s="1" t="s">
        <v>88</v>
      </c>
    </row>
    <row r="28" spans="1:2" x14ac:dyDescent="0.4">
      <c r="A28" s="6">
        <v>44760</v>
      </c>
      <c r="B28" s="1" t="s">
        <v>89</v>
      </c>
    </row>
    <row r="29" spans="1:2" x14ac:dyDescent="0.4">
      <c r="A29" s="6">
        <v>44784</v>
      </c>
      <c r="B29" s="1" t="s">
        <v>91</v>
      </c>
    </row>
    <row r="30" spans="1:2" x14ac:dyDescent="0.4">
      <c r="A30" s="6">
        <v>44823</v>
      </c>
      <c r="B30" s="1" t="s">
        <v>93</v>
      </c>
    </row>
    <row r="31" spans="1:2" x14ac:dyDescent="0.4">
      <c r="A31" s="6">
        <v>44827</v>
      </c>
      <c r="B31" s="1" t="s">
        <v>94</v>
      </c>
    </row>
    <row r="32" spans="1:2" x14ac:dyDescent="0.4">
      <c r="A32" s="6">
        <v>44844</v>
      </c>
      <c r="B32" s="1" t="s">
        <v>90</v>
      </c>
    </row>
    <row r="33" spans="1:2" x14ac:dyDescent="0.4">
      <c r="A33" s="6">
        <v>44868</v>
      </c>
      <c r="B33" s="1" t="s">
        <v>95</v>
      </c>
    </row>
    <row r="34" spans="1:2" x14ac:dyDescent="0.4">
      <c r="A34" s="6">
        <v>44888</v>
      </c>
      <c r="B34" s="1" t="s">
        <v>96</v>
      </c>
    </row>
    <row r="35" spans="1:2" x14ac:dyDescent="0.4">
      <c r="A35" s="7">
        <v>44927</v>
      </c>
      <c r="B35" s="1" t="s">
        <v>80</v>
      </c>
    </row>
    <row r="36" spans="1:2" x14ac:dyDescent="0.4">
      <c r="A36" s="7">
        <v>44928</v>
      </c>
      <c r="B36" s="1" t="s">
        <v>92</v>
      </c>
    </row>
    <row r="37" spans="1:2" x14ac:dyDescent="0.4">
      <c r="A37" s="7">
        <v>44935</v>
      </c>
      <c r="B37" s="1" t="s">
        <v>81</v>
      </c>
    </row>
    <row r="38" spans="1:2" x14ac:dyDescent="0.4">
      <c r="A38" s="7">
        <v>44968</v>
      </c>
      <c r="B38" s="1" t="s">
        <v>82</v>
      </c>
    </row>
    <row r="39" spans="1:2" x14ac:dyDescent="0.4">
      <c r="A39" s="7">
        <v>44980</v>
      </c>
      <c r="B39" s="1" t="s">
        <v>83</v>
      </c>
    </row>
    <row r="40" spans="1:2" x14ac:dyDescent="0.4">
      <c r="A40" s="7">
        <v>45006</v>
      </c>
      <c r="B40" s="1" t="s">
        <v>84</v>
      </c>
    </row>
    <row r="41" spans="1:2" x14ac:dyDescent="0.4">
      <c r="A41" s="7">
        <v>45045</v>
      </c>
      <c r="B41" s="1" t="s">
        <v>85</v>
      </c>
    </row>
    <row r="42" spans="1:2" x14ac:dyDescent="0.4">
      <c r="A42" s="7">
        <v>45049</v>
      </c>
      <c r="B42" s="1" t="s">
        <v>86</v>
      </c>
    </row>
    <row r="43" spans="1:2" x14ac:dyDescent="0.4">
      <c r="A43" s="7">
        <v>45050</v>
      </c>
      <c r="B43" s="1" t="s">
        <v>87</v>
      </c>
    </row>
    <row r="44" spans="1:2" x14ac:dyDescent="0.4">
      <c r="A44" s="7">
        <v>45051</v>
      </c>
      <c r="B44" s="1" t="s">
        <v>88</v>
      </c>
    </row>
    <row r="45" spans="1:2" x14ac:dyDescent="0.4">
      <c r="A45" s="7">
        <v>45124</v>
      </c>
      <c r="B45" s="1" t="s">
        <v>89</v>
      </c>
    </row>
    <row r="46" spans="1:2" x14ac:dyDescent="0.4">
      <c r="A46" s="7">
        <v>45149</v>
      </c>
      <c r="B46" s="1" t="s">
        <v>91</v>
      </c>
    </row>
    <row r="47" spans="1:2" x14ac:dyDescent="0.4">
      <c r="A47" s="7">
        <v>45187</v>
      </c>
      <c r="B47" s="1" t="s">
        <v>93</v>
      </c>
    </row>
    <row r="48" spans="1:2" x14ac:dyDescent="0.4">
      <c r="A48" s="7">
        <v>45192</v>
      </c>
      <c r="B48" s="1" t="s">
        <v>94</v>
      </c>
    </row>
    <row r="49" spans="1:2" x14ac:dyDescent="0.4">
      <c r="A49" s="7">
        <v>45208</v>
      </c>
      <c r="B49" s="1" t="s">
        <v>125</v>
      </c>
    </row>
    <row r="50" spans="1:2" x14ac:dyDescent="0.4">
      <c r="A50" s="7">
        <v>45233</v>
      </c>
      <c r="B50" s="1" t="s">
        <v>95</v>
      </c>
    </row>
    <row r="51" spans="1:2" x14ac:dyDescent="0.4">
      <c r="A51" s="7">
        <v>45253</v>
      </c>
      <c r="B51" s="1" t="s">
        <v>96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BCF3-415C-449F-A042-B64C33FC2140}">
  <dimension ref="A1:H22"/>
  <sheetViews>
    <sheetView workbookViewId="0"/>
  </sheetViews>
  <sheetFormatPr defaultRowHeight="15.75" x14ac:dyDescent="0.4"/>
  <cols>
    <col min="1" max="1" width="13.25" style="34" bestFit="1" customWidth="1"/>
    <col min="2" max="2" width="20.625" style="34" bestFit="1" customWidth="1"/>
    <col min="3" max="3" width="34.5" style="34" bestFit="1" customWidth="1"/>
    <col min="4" max="4" width="11.625" style="34" bestFit="1" customWidth="1"/>
    <col min="5" max="5" width="11.25" style="34" bestFit="1" customWidth="1"/>
    <col min="6" max="6" width="15" style="34" bestFit="1" customWidth="1"/>
    <col min="7" max="8" width="9.25" style="34" bestFit="1" customWidth="1"/>
    <col min="9" max="16384" width="9" style="34"/>
  </cols>
  <sheetData>
    <row r="1" spans="1:8" x14ac:dyDescent="0.4">
      <c r="D1" s="35" t="s">
        <v>129</v>
      </c>
      <c r="E1" s="35"/>
      <c r="F1" s="35"/>
      <c r="G1" s="35"/>
      <c r="H1" s="35"/>
    </row>
    <row r="2" spans="1:8" x14ac:dyDescent="0.4">
      <c r="A2" s="36" t="s">
        <v>130</v>
      </c>
      <c r="B2" s="36" t="s">
        <v>131</v>
      </c>
      <c r="C2" s="36" t="s">
        <v>132</v>
      </c>
      <c r="D2" s="36" t="s">
        <v>133</v>
      </c>
      <c r="E2" s="36" t="s">
        <v>134</v>
      </c>
      <c r="F2" s="36" t="s">
        <v>135</v>
      </c>
      <c r="G2" s="36" t="s">
        <v>136</v>
      </c>
      <c r="H2" s="36" t="s">
        <v>137</v>
      </c>
    </row>
    <row r="3" spans="1:8" x14ac:dyDescent="0.4">
      <c r="A3" s="37" t="s">
        <v>138</v>
      </c>
      <c r="B3" s="37" t="s">
        <v>139</v>
      </c>
      <c r="C3" s="37" t="s">
        <v>140</v>
      </c>
      <c r="D3" s="38"/>
      <c r="E3" s="38"/>
      <c r="F3" s="39"/>
      <c r="G3" s="39">
        <v>0.01</v>
      </c>
      <c r="H3" s="39">
        <v>0.1</v>
      </c>
    </row>
    <row r="4" spans="1:8" x14ac:dyDescent="0.4">
      <c r="A4" s="37"/>
      <c r="B4" s="37" t="s">
        <v>141</v>
      </c>
      <c r="C4" s="37" t="s">
        <v>140</v>
      </c>
      <c r="D4" s="38"/>
      <c r="E4" s="38"/>
      <c r="F4" s="39"/>
      <c r="G4" s="39">
        <v>0.01</v>
      </c>
      <c r="H4" s="39">
        <v>0.1</v>
      </c>
    </row>
    <row r="5" spans="1:8" x14ac:dyDescent="0.4">
      <c r="A5" s="37"/>
      <c r="B5" s="40" t="s">
        <v>142</v>
      </c>
      <c r="C5" s="37" t="s">
        <v>143</v>
      </c>
      <c r="D5" s="38">
        <v>8</v>
      </c>
      <c r="E5" s="38">
        <v>5</v>
      </c>
      <c r="F5" s="39">
        <v>0</v>
      </c>
      <c r="G5" s="39">
        <v>0.01</v>
      </c>
      <c r="H5" s="39">
        <v>0.1</v>
      </c>
    </row>
    <row r="6" spans="1:8" x14ac:dyDescent="0.4">
      <c r="A6" s="37"/>
      <c r="B6" s="40" t="s">
        <v>144</v>
      </c>
      <c r="C6" s="37" t="s">
        <v>145</v>
      </c>
      <c r="D6" s="38">
        <v>4</v>
      </c>
      <c r="E6" s="38">
        <v>5</v>
      </c>
      <c r="F6" s="39">
        <v>0</v>
      </c>
      <c r="G6" s="39">
        <v>0.01</v>
      </c>
      <c r="H6" s="39">
        <v>0.1</v>
      </c>
    </row>
    <row r="7" spans="1:8" x14ac:dyDescent="0.4">
      <c r="A7" s="37"/>
      <c r="B7" s="37" t="s">
        <v>146</v>
      </c>
      <c r="C7" s="37" t="s">
        <v>147</v>
      </c>
      <c r="D7" s="38">
        <v>8</v>
      </c>
      <c r="E7" s="38">
        <v>5</v>
      </c>
      <c r="F7" s="39">
        <v>0.5</v>
      </c>
      <c r="G7" s="39">
        <v>0.01</v>
      </c>
      <c r="H7" s="39">
        <v>0.1</v>
      </c>
    </row>
    <row r="8" spans="1:8" x14ac:dyDescent="0.4">
      <c r="A8" s="37"/>
      <c r="B8" s="37" t="s">
        <v>148</v>
      </c>
      <c r="C8" s="37" t="s">
        <v>140</v>
      </c>
      <c r="D8" s="38"/>
      <c r="E8" s="38"/>
      <c r="F8" s="39"/>
      <c r="G8" s="39">
        <v>0.01</v>
      </c>
      <c r="H8" s="39">
        <v>0.1</v>
      </c>
    </row>
    <row r="9" spans="1:8" x14ac:dyDescent="0.4">
      <c r="A9" s="37"/>
      <c r="B9" s="37" t="s">
        <v>149</v>
      </c>
      <c r="C9" s="37" t="s">
        <v>147</v>
      </c>
      <c r="D9" s="38">
        <v>8</v>
      </c>
      <c r="E9" s="38">
        <v>5</v>
      </c>
      <c r="F9" s="39">
        <v>0.5</v>
      </c>
      <c r="G9" s="39">
        <v>0.01</v>
      </c>
      <c r="H9" s="39">
        <v>0.1</v>
      </c>
    </row>
    <row r="10" spans="1:8" x14ac:dyDescent="0.4">
      <c r="A10" s="37" t="s">
        <v>150</v>
      </c>
      <c r="B10" s="37" t="s">
        <v>151</v>
      </c>
      <c r="C10" s="37" t="s">
        <v>140</v>
      </c>
      <c r="D10" s="38"/>
      <c r="E10" s="38"/>
      <c r="F10" s="39"/>
      <c r="G10" s="39">
        <v>0.01</v>
      </c>
      <c r="H10" s="39">
        <v>0.1</v>
      </c>
    </row>
    <row r="11" spans="1:8" x14ac:dyDescent="0.4">
      <c r="A11" s="37"/>
      <c r="B11" s="37" t="s">
        <v>152</v>
      </c>
      <c r="C11" s="37" t="s">
        <v>140</v>
      </c>
      <c r="D11" s="38"/>
      <c r="E11" s="38"/>
      <c r="F11" s="39"/>
      <c r="G11" s="39">
        <v>0.01</v>
      </c>
      <c r="H11" s="39">
        <v>0.1</v>
      </c>
    </row>
    <row r="12" spans="1:8" x14ac:dyDescent="0.4">
      <c r="A12" s="37"/>
      <c r="B12" s="37" t="s">
        <v>153</v>
      </c>
      <c r="C12" s="37" t="s">
        <v>147</v>
      </c>
      <c r="D12" s="38">
        <v>8</v>
      </c>
      <c r="E12" s="38">
        <v>5</v>
      </c>
      <c r="F12" s="39">
        <v>0.5</v>
      </c>
      <c r="G12" s="39">
        <v>0.01</v>
      </c>
      <c r="H12" s="39">
        <v>0.1</v>
      </c>
    </row>
    <row r="13" spans="1:8" x14ac:dyDescent="0.4">
      <c r="A13" s="37"/>
      <c r="B13" s="37" t="s">
        <v>154</v>
      </c>
      <c r="C13" s="37" t="s">
        <v>140</v>
      </c>
      <c r="D13" s="38"/>
      <c r="E13" s="38"/>
      <c r="F13" s="39"/>
      <c r="G13" s="39">
        <v>0.01</v>
      </c>
      <c r="H13" s="39">
        <v>0.1</v>
      </c>
    </row>
    <row r="14" spans="1:8" x14ac:dyDescent="0.4">
      <c r="A14" s="37"/>
      <c r="B14" s="37" t="s">
        <v>155</v>
      </c>
      <c r="C14" s="37" t="s">
        <v>147</v>
      </c>
      <c r="D14" s="38">
        <v>8</v>
      </c>
      <c r="E14" s="38">
        <v>5</v>
      </c>
      <c r="F14" s="39">
        <v>0.5</v>
      </c>
      <c r="G14" s="39">
        <v>0.01</v>
      </c>
      <c r="H14" s="39">
        <v>0.1</v>
      </c>
    </row>
    <row r="15" spans="1:8" x14ac:dyDescent="0.4">
      <c r="A15" s="37" t="s">
        <v>156</v>
      </c>
      <c r="B15" s="37" t="s">
        <v>157</v>
      </c>
      <c r="C15" s="37" t="s">
        <v>140</v>
      </c>
      <c r="D15" s="38"/>
      <c r="E15" s="38"/>
      <c r="F15" s="39"/>
      <c r="G15" s="39">
        <v>0.01</v>
      </c>
      <c r="H15" s="39">
        <v>0.1</v>
      </c>
    </row>
    <row r="16" spans="1:8" x14ac:dyDescent="0.4">
      <c r="A16" s="37"/>
      <c r="B16" s="37" t="s">
        <v>158</v>
      </c>
      <c r="C16" s="37" t="s">
        <v>147</v>
      </c>
      <c r="D16" s="38">
        <v>8</v>
      </c>
      <c r="E16" s="38">
        <v>5</v>
      </c>
      <c r="F16" s="39">
        <v>0.5</v>
      </c>
      <c r="G16" s="39">
        <v>0.01</v>
      </c>
      <c r="H16" s="39">
        <v>0.1</v>
      </c>
    </row>
    <row r="17" spans="1:8" x14ac:dyDescent="0.4">
      <c r="A17" s="37"/>
      <c r="B17" s="37" t="s">
        <v>159</v>
      </c>
      <c r="C17" s="37" t="s">
        <v>147</v>
      </c>
      <c r="D17" s="38">
        <v>8</v>
      </c>
      <c r="E17" s="38">
        <v>5</v>
      </c>
      <c r="F17" s="39">
        <v>0.5</v>
      </c>
      <c r="G17" s="39">
        <v>0.01</v>
      </c>
      <c r="H17" s="39">
        <v>0.1</v>
      </c>
    </row>
    <row r="18" spans="1:8" x14ac:dyDescent="0.4">
      <c r="A18" s="37"/>
      <c r="B18" s="37" t="s">
        <v>160</v>
      </c>
      <c r="C18" s="37" t="s">
        <v>140</v>
      </c>
      <c r="D18" s="38"/>
      <c r="E18" s="38"/>
      <c r="F18" s="39"/>
      <c r="G18" s="39">
        <v>0.01</v>
      </c>
      <c r="H18" s="39">
        <v>0.1</v>
      </c>
    </row>
    <row r="19" spans="1:8" x14ac:dyDescent="0.4">
      <c r="A19" s="41"/>
      <c r="B19" s="41" t="s">
        <v>161</v>
      </c>
      <c r="C19" s="41" t="s">
        <v>147</v>
      </c>
      <c r="D19" s="42">
        <v>8</v>
      </c>
      <c r="E19" s="42">
        <v>5</v>
      </c>
      <c r="F19" s="43">
        <v>0.5</v>
      </c>
      <c r="G19" s="43">
        <v>0.01</v>
      </c>
      <c r="H19" s="43">
        <v>0.1</v>
      </c>
    </row>
    <row r="21" spans="1:8" x14ac:dyDescent="0.4">
      <c r="A21" s="34" t="s">
        <v>162</v>
      </c>
    </row>
    <row r="22" spans="1:8" x14ac:dyDescent="0.4">
      <c r="A22" s="34" t="s">
        <v>163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入力シート</vt:lpstr>
      <vt:lpstr>実金</vt:lpstr>
      <vt:lpstr>休日</vt:lpstr>
      <vt:lpstr>固定値</vt:lpstr>
      <vt:lpstr>実金!Print_Area</vt:lpstr>
      <vt:lpstr>実金!Print_Titles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齊藤真也</dc:creator>
  <cp:lastModifiedBy>Shin'ya Saito</cp:lastModifiedBy>
  <cp:lastPrinted>2021-08-29T11:54:05Z</cp:lastPrinted>
  <dcterms:created xsi:type="dcterms:W3CDTF">2021-06-29T05:28:02Z</dcterms:created>
  <dcterms:modified xsi:type="dcterms:W3CDTF">2022-01-20T00:48:22Z</dcterms:modified>
</cp:coreProperties>
</file>