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入力シート" sheetId="1" r:id="rId4"/>
    <sheet state="visible" name="実金" sheetId="2" r:id="rId5"/>
    <sheet state="visible" name="休日" sheetId="3" r:id="rId6"/>
    <sheet state="visible" name="固定値" sheetId="4" r:id="rId7"/>
  </sheets>
  <definedNames/>
  <calcPr/>
  <extLst>
    <ext uri="GoogleSheetsCustomDataVersion1">
      <go:sheetsCustomData xmlns:go="http://customooxmlschemas.google.com/" r:id="rId8" roundtripDataSignature="AMtx7midH9tUxNDCzS3gf4fU9CKdevhPKg=="/>
    </ext>
  </extLst>
</workbook>
</file>

<file path=xl/sharedStrings.xml><?xml version="1.0" encoding="utf-8"?>
<sst xmlns="http://schemas.openxmlformats.org/spreadsheetml/2006/main" count="238" uniqueCount="178">
  <si>
    <t>優遇レート</t>
  </si>
  <si>
    <t>商品区分</t>
  </si>
  <si>
    <t>2054</t>
  </si>
  <si>
    <t>顧客名</t>
  </si>
  <si>
    <t>田中 太郎</t>
  </si>
  <si>
    <t>生年月日</t>
  </si>
  <si>
    <t>配偶者名</t>
  </si>
  <si>
    <t>田中 花子</t>
  </si>
  <si>
    <t>顧客名ローマ字</t>
  </si>
  <si>
    <t>TARO TANAKA</t>
  </si>
  <si>
    <t>配偶者名ローマ字</t>
  </si>
  <si>
    <t>HANAKO TANAKA</t>
  </si>
  <si>
    <t>郵便番号</t>
  </si>
  <si>
    <t>2**-00**</t>
  </si>
  <si>
    <t>顧客住所</t>
  </si>
  <si>
    <t>神奈川県***市***区****1-1-1</t>
  </si>
  <si>
    <t>顧客住所ローマ字</t>
  </si>
  <si>
    <t>1-1-1 ****, ***-KU, ***-SHI, KANAGAWA 2***-00** JAPAN</t>
  </si>
  <si>
    <t>自宅電話番号</t>
  </si>
  <si>
    <t>03-****-****</t>
  </si>
  <si>
    <t>携帯電話番号</t>
  </si>
  <si>
    <t>090-****-****</t>
  </si>
  <si>
    <t>勤務先名</t>
  </si>
  <si>
    <t>株式会社アイビーネット</t>
  </si>
  <si>
    <t>勤務先所在地</t>
  </si>
  <si>
    <t>東京都中央区銀座６-１０-１</t>
  </si>
  <si>
    <t>勤務先電話番号</t>
  </si>
  <si>
    <t>03-6264-5647</t>
  </si>
  <si>
    <t>物件価格</t>
  </si>
  <si>
    <t>物件価格ローマ字表記</t>
  </si>
  <si>
    <t>ＵＳＤ借入希望金額</t>
  </si>
  <si>
    <t>ＵＳＤ借入希望金額ローマ字表記</t>
  </si>
  <si>
    <t>抵当権設定額</t>
  </si>
  <si>
    <t>元金弁済金額</t>
  </si>
  <si>
    <t>初回元金弁済日</t>
  </si>
  <si>
    <t>元金弁済回数</t>
  </si>
  <si>
    <t>最終弁済時元金額</t>
  </si>
  <si>
    <t>約定利率</t>
  </si>
  <si>
    <t>基準金利</t>
  </si>
  <si>
    <t>上乗せ金利</t>
  </si>
  <si>
    <t>融資手数料（税込）</t>
  </si>
  <si>
    <t>担保明細－物件名</t>
  </si>
  <si>
    <t>H 2610 Runic</t>
  </si>
  <si>
    <t>担保明細－所在地</t>
  </si>
  <si>
    <t>2610 Runic Way, Alpharetta</t>
  </si>
  <si>
    <t>担保明細－州国</t>
  </si>
  <si>
    <t>GA 30022, USA</t>
  </si>
  <si>
    <t>土地面積</t>
  </si>
  <si>
    <t>建物面積</t>
  </si>
  <si>
    <t>建物タイプ</t>
  </si>
  <si>
    <t>4 Bed 2.5 Bath</t>
  </si>
  <si>
    <t>建物価格</t>
  </si>
  <si>
    <t>築年数</t>
  </si>
  <si>
    <t>収入印紙代</t>
  </si>
  <si>
    <t>送金手数料</t>
  </si>
  <si>
    <t>弁済期間</t>
  </si>
  <si>
    <t>8年2ヶ月</t>
  </si>
  <si>
    <t>弁済回数</t>
  </si>
  <si>
    <t>初回弁済日</t>
  </si>
  <si>
    <t>最終弁済日</t>
  </si>
  <si>
    <t>Ｃｌｏｓｉｎｇ　Ｄａｔｅ</t>
  </si>
  <si>
    <t>Ｌｅｇａｌ　ＤＥＳＣ</t>
  </si>
  <si>
    <t>Ｉｎｓｔｒｕｍｅｎｔａｌ</t>
  </si>
  <si>
    <t>Ｐａｒｃｅｌ　Ｎｏ</t>
  </si>
  <si>
    <t>Ｐｒｏｐｅｒｔｙ　Ａｄｄ</t>
  </si>
  <si>
    <t>2610 Runic Way, Alpharetta, GA 30022</t>
  </si>
  <si>
    <t>金消契約日</t>
  </si>
  <si>
    <t>借入日</t>
  </si>
  <si>
    <t>連帯保証人名</t>
  </si>
  <si>
    <t>保証 太郎/保証 花子</t>
  </si>
  <si>
    <t>連帯保証人名ローマ字</t>
  </si>
  <si>
    <t>HOSYO TAROU/HOSYO HANAKO</t>
  </si>
  <si>
    <t>連帯保証人住所</t>
  </si>
  <si>
    <t>神奈川県***市***区****1-1-2/神奈川県***市***区****1-1-3</t>
  </si>
  <si>
    <t>連帯保証人ローマ字</t>
  </si>
  <si>
    <t>1-1-2 ****, ***-KU, ***-SHI, KANAGAWA 2***-00** JAPAN/1-1-3 ****, ***-KU, ***-SHI, KANAGAWA 2***-00** JAPAN</t>
  </si>
  <si>
    <t>Ｃｏｕｎｔｒｙ</t>
  </si>
  <si>
    <t>為替予約日</t>
  </si>
  <si>
    <t>融資比率</t>
  </si>
  <si>
    <t>敬称</t>
  </si>
  <si>
    <t>様</t>
  </si>
  <si>
    <t>州国</t>
  </si>
  <si>
    <t>システム実行日</t>
  </si>
  <si>
    <t>バルーン回数（＝返済年数）</t>
  </si>
  <si>
    <t>約定弁済月</t>
  </si>
  <si>
    <t>最終弁済時ＬＴＶ</t>
  </si>
  <si>
    <t>手数料率</t>
  </si>
  <si>
    <t>消費税率</t>
  </si>
  <si>
    <t>初回弁済日（英）</t>
  </si>
  <si>
    <t>最終弁済日（英）</t>
  </si>
  <si>
    <t>Ｃｌｏｓｉｎｇ　Ｄ（英）</t>
  </si>
  <si>
    <t>金消契約日（英）</t>
  </si>
  <si>
    <t>借入日（英）</t>
  </si>
  <si>
    <t>初回元金弁済日（英）</t>
  </si>
  <si>
    <t>ＬＴＶ</t>
  </si>
  <si>
    <t>実金シート内確認用ＬＴＶ</t>
  </si>
  <si>
    <t>借入希望金額（＄）</t>
  </si>
  <si>
    <t>ＴＴＳレート</t>
  </si>
  <si>
    <t>実質利率（年率）</t>
  </si>
  <si>
    <t>利息・手数料等の総額</t>
  </si>
  <si>
    <t>貸付元本額（￥）</t>
  </si>
  <si>
    <t>将来支払う返済金額の合計額</t>
  </si>
  <si>
    <t>返済元本の総額</t>
  </si>
  <si>
    <t>優遇レート（三井住友）</t>
  </si>
  <si>
    <t>出金額</t>
  </si>
  <si>
    <t>各回利息</t>
  </si>
  <si>
    <t>各回均等約定弁済額</t>
  </si>
  <si>
    <t>為替手数料</t>
  </si>
  <si>
    <t>最終回（元利金）</t>
  </si>
  <si>
    <t>定額元金</t>
  </si>
  <si>
    <t>端数</t>
  </si>
  <si>
    <t>※送金手数料は￥0でＯＫ</t>
  </si>
  <si>
    <t>事務手等支払期限</t>
  </si>
  <si>
    <t>日割日数</t>
  </si>
  <si>
    <t>日割利息</t>
  </si>
  <si>
    <t>実行及び返済日</t>
  </si>
  <si>
    <t>年月日</t>
  </si>
  <si>
    <t>約弁回</t>
  </si>
  <si>
    <t>手数料等</t>
  </si>
  <si>
    <t>後払利息</t>
  </si>
  <si>
    <t>返済元本</t>
  </si>
  <si>
    <t>約定元本</t>
  </si>
  <si>
    <t>利用可能額</t>
  </si>
  <si>
    <t>計算元本積数</t>
  </si>
  <si>
    <t>日数</t>
  </si>
  <si>
    <t>返済開始月以降の返済月か</t>
  </si>
  <si>
    <t>約弁回数累計</t>
  </si>
  <si>
    <t>端数調整</t>
  </si>
  <si>
    <t>休日</t>
  </si>
  <si>
    <t>元日</t>
  </si>
  <si>
    <t>成人の日</t>
  </si>
  <si>
    <t>建国記念の日</t>
  </si>
  <si>
    <t>天皇誕生日</t>
  </si>
  <si>
    <t>春分の日</t>
  </si>
  <si>
    <t>昭和の日</t>
  </si>
  <si>
    <t>憲法記念日</t>
  </si>
  <si>
    <t>みどりの日</t>
  </si>
  <si>
    <t>こどもの日</t>
  </si>
  <si>
    <t>海の日</t>
  </si>
  <si>
    <t>スポーツの日</t>
  </si>
  <si>
    <t>山の日</t>
  </si>
  <si>
    <t>振替休日</t>
  </si>
  <si>
    <t>敬老の日</t>
  </si>
  <si>
    <t>秋分の日</t>
  </si>
  <si>
    <t>文化の日</t>
  </si>
  <si>
    <t>勤労感謝の日</t>
  </si>
  <si>
    <t>スポーツの日（体育の日改め）</t>
  </si>
  <si>
    <t>入力シート項目名</t>
  </si>
  <si>
    <t>属性</t>
  </si>
  <si>
    <t>商品名</t>
  </si>
  <si>
    <t>商品種類</t>
  </si>
  <si>
    <t>バルーン回数</t>
  </si>
  <si>
    <t>最終弁済時LTV</t>
  </si>
  <si>
    <t>個人</t>
  </si>
  <si>
    <t>70N</t>
  </si>
  <si>
    <t>最終元金一括弁済</t>
  </si>
  <si>
    <t>70NP</t>
  </si>
  <si>
    <t>1年毎5月(8回)弁済</t>
  </si>
  <si>
    <t>9054</t>
  </si>
  <si>
    <t>1年毎5月(4回)弁済</t>
  </si>
  <si>
    <t>コバルト70</t>
  </si>
  <si>
    <t>1年毎5月(8回) + 最終元金一括弁済</t>
  </si>
  <si>
    <t>マルチ50</t>
  </si>
  <si>
    <t>マルチ70</t>
  </si>
  <si>
    <t>資産管理法人</t>
  </si>
  <si>
    <t>資産管理法人70N</t>
  </si>
  <si>
    <t>資産管理法人70NP</t>
  </si>
  <si>
    <t>TXPMコバルト70</t>
  </si>
  <si>
    <t>資産管理法人マルチ50</t>
  </si>
  <si>
    <t>資産管理法人マルチ70</t>
  </si>
  <si>
    <t>事業法人</t>
  </si>
  <si>
    <t>コーポレート50</t>
  </si>
  <si>
    <t>コーポレート60</t>
  </si>
  <si>
    <t>コーポレート70</t>
  </si>
  <si>
    <t>コーポレート
マルチ50</t>
  </si>
  <si>
    <t xml:space="preserve">コーポレート
マルチ70　</t>
  </si>
  <si>
    <t>この表の項目を入れ替えたり、行や列を増減させないでください。</t>
  </si>
  <si>
    <t>「入力シート項目名」の値は任意に変更しても問題はありません。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</si>
</sst>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6">
    <numFmt numFmtId="164" formatCode="&quot;¥&quot;#,##0.00;[Red]&quot;¥&quot;\-#,##0.00"/>
    <numFmt numFmtId="165" formatCode="[$-F800]dddd\,\ mmmm\ dd\,\ yyyy"/>
    <numFmt numFmtId="166" formatCode="\$#,##0.00;[Red]\$\-#,##0.00"/>
    <numFmt numFmtId="167" formatCode="#,##0&quot;回&quot;;[Red]\-#,##0&quot;回&quot;"/>
    <numFmt numFmtId="168" formatCode="0.000%"/>
    <numFmt numFmtId="169" formatCode="&quot;¥&quot;#,##0;[Red]&quot;¥&quot;\-#,##0"/>
    <numFmt numFmtId="170" formatCode="#,##0.00&quot;㎡&quot;;[Red]\-#,##0.00&quot;㎡&quot;"/>
    <numFmt numFmtId="171" formatCode="0&quot;年築&quot;;[Red]\-0&quot;年築&quot;"/>
    <numFmt numFmtId="172" formatCode="#,##0&quot;年&quot;;[Red]\-#,##0&quot;年&quot;"/>
    <numFmt numFmtId="173" formatCode="yyyymmdd"/>
    <numFmt numFmtId="174" formatCode="[$-409]mmmm\ dd\,\ yyyy"/>
    <numFmt numFmtId="175" formatCode="[$$-409]#,##0_);\([$$-409]#,##0\)"/>
    <numFmt numFmtId="176" formatCode="[$¥-411]#,##0.00_);\([$¥-411]#,##0.00\)"/>
    <numFmt numFmtId="177" formatCode="[$¥-411]#,##0_);\([$¥-411]#,##0\)"/>
    <numFmt numFmtId="178" formatCode="yyyy/m/d"/>
    <numFmt numFmtId="179" formatCode="yyyy&quot;年&quot;m&quot;月&quot;d&quot;日&quot;"/>
  </numFmts>
  <fonts count="7">
    <font>
      <sz val="11.0"/>
      <color theme="1"/>
      <name val="Calibri"/>
      <scheme val="minor"/>
    </font>
    <font>
      <sz val="11.0"/>
      <color theme="1"/>
      <name val="Meiryo"/>
    </font>
    <font>
      <sz val="11.0"/>
      <color rgb="FF000000"/>
      <name val="Meiryo"/>
    </font>
    <font>
      <sz val="16.0"/>
      <color rgb="FF000000"/>
      <name val="Meiryo"/>
    </font>
    <font/>
    <font>
      <b/>
      <sz val="11.0"/>
      <color rgb="FFFF0000"/>
      <name val="Meiryo"/>
    </font>
    <font>
      <b/>
      <sz val="10.0"/>
      <color rgb="FFFF0000"/>
      <name val="Meiryo"/>
    </font>
  </fonts>
  <fills count="10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E2EFD9"/>
        <bgColor rgb="FFE2EFD9"/>
      </patternFill>
    </fill>
    <fill>
      <patternFill patternType="solid">
        <fgColor rgb="FFDEEAF6"/>
        <bgColor rgb="FFDEEAF6"/>
      </patternFill>
    </fill>
    <fill>
      <patternFill patternType="solid">
        <fgColor rgb="FFFEF2CB"/>
        <bgColor rgb="FFFEF2CB"/>
      </patternFill>
    </fill>
    <fill>
      <patternFill patternType="solid">
        <fgColor rgb="FFFFCCFF"/>
        <bgColor rgb="FFFFCCFF"/>
      </patternFill>
    </fill>
    <fill>
      <patternFill patternType="solid">
        <fgColor rgb="FF7F7F7F"/>
        <bgColor rgb="FF7F7F7F"/>
      </patternFill>
    </fill>
  </fills>
  <borders count="1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/>
      <top style="medium">
        <color rgb="FF000000"/>
      </top>
      <bottom/>
    </border>
    <border>
      <top style="medium">
        <color rgb="FF000000"/>
      </top>
      <bottom/>
    </border>
    <border>
      <right/>
      <top style="medium">
        <color rgb="FF000000"/>
      </top>
      <bottom/>
    </border>
    <border>
      <left/>
      <right/>
      <top/>
      <bottom/>
    </border>
    <border>
      <left/>
      <right/>
      <top/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75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vertical="center"/>
    </xf>
    <xf borderId="1" fillId="0" fontId="1" numFmtId="164" xfId="0" applyAlignment="1" applyBorder="1" applyFont="1" applyNumberFormat="1">
      <alignment horizontal="left" shrinkToFit="0" vertical="bottom" wrapText="1"/>
    </xf>
    <xf borderId="0" fillId="0" fontId="1" numFmtId="0" xfId="0" applyAlignment="1" applyFont="1">
      <alignment vertical="center"/>
    </xf>
    <xf borderId="1" fillId="3" fontId="1" numFmtId="0" xfId="0" applyAlignment="1" applyBorder="1" applyFill="1" applyFont="1">
      <alignment horizontal="left" shrinkToFit="0" vertical="bottom" wrapText="1"/>
    </xf>
    <xf borderId="1" fillId="0" fontId="1" numFmtId="0" xfId="0" applyAlignment="1" applyBorder="1" applyFont="1">
      <alignment horizontal="left" shrinkToFit="0" vertical="bottom" wrapText="1"/>
    </xf>
    <xf borderId="1" fillId="0" fontId="1" numFmtId="165" xfId="0" applyAlignment="1" applyBorder="1" applyFont="1" applyNumberFormat="1">
      <alignment horizontal="left" shrinkToFit="0" vertical="bottom" wrapText="1"/>
    </xf>
    <xf borderId="1" fillId="0" fontId="1" numFmtId="166" xfId="0" applyAlignment="1" applyBorder="1" applyFont="1" applyNumberFormat="1">
      <alignment horizontal="left" shrinkToFit="0" vertical="bottom" wrapText="1"/>
    </xf>
    <xf borderId="1" fillId="0" fontId="1" numFmtId="167" xfId="0" applyAlignment="1" applyBorder="1" applyFont="1" applyNumberFormat="1">
      <alignment horizontal="left" shrinkToFit="0" vertical="bottom" wrapText="1"/>
    </xf>
    <xf borderId="1" fillId="0" fontId="1" numFmtId="10" xfId="0" applyAlignment="1" applyBorder="1" applyFont="1" applyNumberFormat="1">
      <alignment horizontal="left" shrinkToFit="0" vertical="bottom" wrapText="1"/>
    </xf>
    <xf borderId="1" fillId="0" fontId="1" numFmtId="168" xfId="0" applyAlignment="1" applyBorder="1" applyFont="1" applyNumberFormat="1">
      <alignment horizontal="left" shrinkToFit="0" vertical="bottom" wrapText="1"/>
    </xf>
    <xf borderId="1" fillId="0" fontId="1" numFmtId="169" xfId="0" applyAlignment="1" applyBorder="1" applyFont="1" applyNumberFormat="1">
      <alignment horizontal="left" shrinkToFit="0" vertical="bottom" wrapText="1"/>
    </xf>
    <xf borderId="1" fillId="0" fontId="1" numFmtId="170" xfId="0" applyAlignment="1" applyBorder="1" applyFont="1" applyNumberFormat="1">
      <alignment horizontal="left" shrinkToFit="0" vertical="bottom" wrapText="1"/>
    </xf>
    <xf borderId="1" fillId="0" fontId="1" numFmtId="171" xfId="0" applyAlignment="1" applyBorder="1" applyFont="1" applyNumberFormat="1">
      <alignment horizontal="left" shrinkToFit="0" vertical="bottom" wrapText="1"/>
    </xf>
    <xf borderId="1" fillId="0" fontId="1" numFmtId="172" xfId="0" applyAlignment="1" applyBorder="1" applyFont="1" applyNumberFormat="1">
      <alignment horizontal="left" shrinkToFit="0" vertical="bottom" wrapText="1"/>
    </xf>
    <xf borderId="1" fillId="4" fontId="1" numFmtId="167" xfId="0" applyAlignment="1" applyBorder="1" applyFill="1" applyFont="1" applyNumberFormat="1">
      <alignment horizontal="left" shrinkToFit="0" vertical="bottom" wrapText="1"/>
    </xf>
    <xf borderId="1" fillId="5" fontId="1" numFmtId="9" xfId="0" applyAlignment="1" applyBorder="1" applyFill="1" applyFont="1" applyNumberFormat="1">
      <alignment horizontal="left" shrinkToFit="0" vertical="bottom" wrapText="1"/>
    </xf>
    <xf borderId="1" fillId="2" fontId="2" numFmtId="0" xfId="0" applyAlignment="1" applyBorder="1" applyFont="1">
      <alignment shrinkToFit="1" vertical="center" wrapText="0"/>
    </xf>
    <xf borderId="1" fillId="5" fontId="1" numFmtId="0" xfId="0" applyAlignment="1" applyBorder="1" applyFont="1">
      <alignment horizontal="left" shrinkToFit="0" vertical="bottom" wrapText="1"/>
    </xf>
    <xf borderId="1" fillId="5" fontId="1" numFmtId="173" xfId="0" applyAlignment="1" applyBorder="1" applyFont="1" applyNumberFormat="1">
      <alignment horizontal="left" shrinkToFit="0" vertical="bottom" wrapText="1"/>
    </xf>
    <xf borderId="1" fillId="2" fontId="2" numFmtId="0" xfId="0" applyAlignment="1" applyBorder="1" applyFont="1">
      <alignment vertical="center"/>
    </xf>
    <xf borderId="1" fillId="5" fontId="2" numFmtId="167" xfId="0" applyAlignment="1" applyBorder="1" applyFont="1" applyNumberFormat="1">
      <alignment horizontal="left" shrinkToFit="0" vertical="center" wrapText="1"/>
    </xf>
    <xf borderId="1" fillId="5" fontId="2" numFmtId="38" xfId="0" applyAlignment="1" applyBorder="1" applyFont="1" applyNumberFormat="1">
      <alignment horizontal="left" shrinkToFit="0" vertical="center" wrapText="1"/>
    </xf>
    <xf borderId="1" fillId="5" fontId="2" numFmtId="9" xfId="0" applyAlignment="1" applyBorder="1" applyFont="1" applyNumberFormat="1">
      <alignment horizontal="left" shrinkToFit="0" vertical="center" wrapText="1"/>
    </xf>
    <xf borderId="1" fillId="5" fontId="1" numFmtId="174" xfId="0" applyAlignment="1" applyBorder="1" applyFont="1" applyNumberFormat="1">
      <alignment horizontal="left" shrinkToFit="0" vertical="center" wrapText="1"/>
    </xf>
    <xf borderId="2" fillId="0" fontId="3" numFmtId="0" xfId="0" applyAlignment="1" applyBorder="1" applyFont="1">
      <alignment horizontal="center" vertical="center"/>
    </xf>
    <xf borderId="3" fillId="0" fontId="4" numFmtId="0" xfId="0" applyAlignment="1" applyBorder="1" applyFont="1">
      <alignment vertical="center"/>
    </xf>
    <xf borderId="4" fillId="0" fontId="4" numFmtId="0" xfId="0" applyAlignment="1" applyBorder="1" applyFont="1">
      <alignment vertical="center"/>
    </xf>
    <xf borderId="0" fillId="0" fontId="2" numFmtId="0" xfId="0" applyAlignment="1" applyFont="1">
      <alignment vertical="center"/>
    </xf>
    <xf borderId="5" fillId="6" fontId="5" numFmtId="38" xfId="0" applyAlignment="1" applyBorder="1" applyFill="1" applyFont="1" applyNumberFormat="1">
      <alignment horizontal="left" shrinkToFit="1" vertical="center" wrapText="0"/>
    </xf>
    <xf borderId="6" fillId="0" fontId="4" numFmtId="0" xfId="0" applyAlignment="1" applyBorder="1" applyFont="1">
      <alignment vertical="center"/>
    </xf>
    <xf borderId="7" fillId="0" fontId="4" numFmtId="0" xfId="0" applyAlignment="1" applyBorder="1" applyFont="1">
      <alignment vertical="center"/>
    </xf>
    <xf borderId="1" fillId="0" fontId="2" numFmtId="0" xfId="0" applyAlignment="1" applyBorder="1" applyFont="1">
      <alignment shrinkToFit="1" vertical="center" wrapText="0"/>
    </xf>
    <xf borderId="1" fillId="6" fontId="2" numFmtId="38" xfId="0" applyAlignment="1" applyBorder="1" applyFont="1" applyNumberFormat="1">
      <alignment horizontal="right" shrinkToFit="1" vertical="center" wrapText="0"/>
    </xf>
    <xf borderId="1" fillId="0" fontId="1" numFmtId="0" xfId="0" applyAlignment="1" applyBorder="1" applyFont="1">
      <alignment vertical="center"/>
    </xf>
    <xf borderId="1" fillId="6" fontId="1" numFmtId="38" xfId="0" applyAlignment="1" applyBorder="1" applyFont="1" applyNumberFormat="1">
      <alignment vertical="center"/>
    </xf>
    <xf borderId="1" fillId="6" fontId="2" numFmtId="175" xfId="0" applyAlignment="1" applyBorder="1" applyFont="1" applyNumberFormat="1">
      <alignment shrinkToFit="1" vertical="center" wrapText="0"/>
    </xf>
    <xf borderId="1" fillId="0" fontId="2" numFmtId="0" xfId="0" applyAlignment="1" applyBorder="1" applyFont="1">
      <alignment shrinkToFit="0" vertical="center" wrapText="1"/>
    </xf>
    <xf borderId="1" fillId="6" fontId="2" numFmtId="38" xfId="0" applyAlignment="1" applyBorder="1" applyFont="1" applyNumberFormat="1">
      <alignment shrinkToFit="1" vertical="center" wrapText="0"/>
    </xf>
    <xf borderId="1" fillId="6" fontId="2" numFmtId="9" xfId="0" applyAlignment="1" applyBorder="1" applyFont="1" applyNumberFormat="1">
      <alignment shrinkToFit="1" vertical="center" wrapText="0"/>
    </xf>
    <xf borderId="1" fillId="7" fontId="2" numFmtId="9" xfId="0" applyAlignment="1" applyBorder="1" applyFill="1" applyFont="1" applyNumberFormat="1">
      <alignment shrinkToFit="1" vertical="center" wrapText="0"/>
    </xf>
    <xf borderId="1" fillId="0" fontId="1" numFmtId="0" xfId="0" applyAlignment="1" applyBorder="1" applyFont="1">
      <alignment shrinkToFit="0" vertical="center" wrapText="1"/>
    </xf>
    <xf borderId="1" fillId="7" fontId="1" numFmtId="9" xfId="0" applyAlignment="1" applyBorder="1" applyFont="1" applyNumberFormat="1">
      <alignment shrinkToFit="1" vertical="center" wrapText="0"/>
    </xf>
    <xf borderId="1" fillId="7" fontId="2" numFmtId="175" xfId="0" applyAlignment="1" applyBorder="1" applyFont="1" applyNumberFormat="1">
      <alignment shrinkToFit="1" vertical="center" wrapText="0"/>
    </xf>
    <xf borderId="1" fillId="7" fontId="2" numFmtId="176" xfId="0" applyAlignment="1" applyBorder="1" applyFont="1" applyNumberFormat="1">
      <alignment shrinkToFit="1" vertical="center" wrapText="0"/>
    </xf>
    <xf borderId="1" fillId="7" fontId="2" numFmtId="168" xfId="0" applyAlignment="1" applyBorder="1" applyFont="1" applyNumberFormat="1">
      <alignment shrinkToFit="1" vertical="center" wrapText="0"/>
    </xf>
    <xf borderId="1" fillId="7" fontId="2" numFmtId="177" xfId="0" applyAlignment="1" applyBorder="1" applyFont="1" applyNumberFormat="1">
      <alignment shrinkToFit="1" vertical="center" wrapText="0"/>
    </xf>
    <xf borderId="1" fillId="8" fontId="2" numFmtId="176" xfId="0" applyAlignment="1" applyBorder="1" applyFill="1" applyFont="1" applyNumberFormat="1">
      <alignment shrinkToFit="1" vertical="center" wrapText="0"/>
    </xf>
    <xf borderId="1" fillId="9" fontId="2" numFmtId="0" xfId="0" applyAlignment="1" applyBorder="1" applyFill="1" applyFont="1">
      <alignment shrinkToFit="1" vertical="center" wrapText="0"/>
    </xf>
    <xf borderId="1" fillId="9" fontId="2" numFmtId="177" xfId="0" applyAlignment="1" applyBorder="1" applyFont="1" applyNumberFormat="1">
      <alignment shrinkToFit="1" vertical="center" wrapText="0"/>
    </xf>
    <xf borderId="1" fillId="7" fontId="1" numFmtId="0" xfId="0" applyAlignment="1" applyBorder="1" applyFont="1">
      <alignment vertical="center"/>
    </xf>
    <xf borderId="0" fillId="0" fontId="6" numFmtId="0" xfId="0" applyAlignment="1" applyFont="1">
      <alignment vertical="center"/>
    </xf>
    <xf borderId="0" fillId="0" fontId="2" numFmtId="177" xfId="0" applyAlignment="1" applyFont="1" applyNumberFormat="1">
      <alignment vertical="center"/>
    </xf>
    <xf borderId="1" fillId="6" fontId="2" numFmtId="10" xfId="0" applyAlignment="1" applyBorder="1" applyFont="1" applyNumberFormat="1">
      <alignment shrinkToFit="1" vertical="center" wrapText="0"/>
    </xf>
    <xf borderId="0" fillId="0" fontId="2" numFmtId="10" xfId="0" applyAlignment="1" applyFont="1" applyNumberFormat="1">
      <alignment vertical="center"/>
    </xf>
    <xf borderId="1" fillId="7" fontId="2" numFmtId="178" xfId="0" applyAlignment="1" applyBorder="1" applyFont="1" applyNumberFormat="1">
      <alignment shrinkToFit="1" vertical="center" wrapText="0"/>
    </xf>
    <xf borderId="1" fillId="7" fontId="2" numFmtId="38" xfId="0" applyAlignment="1" applyBorder="1" applyFont="1" applyNumberFormat="1">
      <alignment shrinkToFit="1" vertical="center" wrapText="0"/>
    </xf>
    <xf borderId="1" fillId="7" fontId="2" numFmtId="0" xfId="0" applyAlignment="1" applyBorder="1" applyFont="1">
      <alignment shrinkToFit="1" vertical="center" wrapText="0"/>
    </xf>
    <xf borderId="1" fillId="7" fontId="2" numFmtId="0" xfId="0" applyAlignment="1" applyBorder="1" applyFont="1">
      <alignment vertical="center"/>
    </xf>
    <xf borderId="1" fillId="0" fontId="2" numFmtId="178" xfId="0" applyAlignment="1" applyBorder="1" applyFont="1" applyNumberFormat="1">
      <alignment shrinkToFit="1" vertical="center" wrapText="0"/>
    </xf>
    <xf borderId="1" fillId="0" fontId="2" numFmtId="38" xfId="0" applyAlignment="1" applyBorder="1" applyFont="1" applyNumberFormat="1">
      <alignment shrinkToFit="1" vertical="center" wrapText="0"/>
    </xf>
    <xf borderId="1" fillId="0" fontId="2" numFmtId="38" xfId="0" applyAlignment="1" applyBorder="1" applyFont="1" applyNumberFormat="1">
      <alignment horizontal="center" shrinkToFit="1" vertical="center" wrapText="0"/>
    </xf>
    <xf borderId="0" fillId="0" fontId="2" numFmtId="0" xfId="0" applyAlignment="1" applyFont="1">
      <alignment shrinkToFit="0" vertical="center" wrapText="1"/>
    </xf>
    <xf borderId="0" fillId="0" fontId="1" numFmtId="38" xfId="0" applyAlignment="1" applyFont="1" applyNumberFormat="1">
      <alignment vertical="center"/>
    </xf>
    <xf borderId="0" fillId="0" fontId="1" numFmtId="165" xfId="0" applyAlignment="1" applyFont="1" applyNumberFormat="1">
      <alignment vertical="center"/>
    </xf>
    <xf borderId="0" fillId="0" fontId="1" numFmtId="179" xfId="0" applyAlignment="1" applyFont="1" applyNumberFormat="1">
      <alignment vertical="center"/>
    </xf>
    <xf borderId="8" fillId="2" fontId="1" numFmtId="0" xfId="0" applyAlignment="1" applyBorder="1" applyFont="1">
      <alignment vertical="center"/>
    </xf>
    <xf borderId="9" fillId="2" fontId="1" numFmtId="0" xfId="0" applyAlignment="1" applyBorder="1" applyFont="1">
      <alignment vertical="center"/>
    </xf>
    <xf borderId="10" fillId="2" fontId="1" numFmtId="0" xfId="0" applyAlignment="1" applyBorder="1" applyFont="1">
      <alignment vertical="center"/>
    </xf>
    <xf borderId="11" fillId="0" fontId="1" numFmtId="38" xfId="0" applyAlignment="1" applyBorder="1" applyFont="1" applyNumberFormat="1">
      <alignment vertical="center"/>
    </xf>
    <xf borderId="11" fillId="0" fontId="1" numFmtId="9" xfId="0" applyAlignment="1" applyBorder="1" applyFont="1" applyNumberFormat="1">
      <alignment vertical="center"/>
    </xf>
    <xf quotePrefix="1" borderId="10" fillId="2" fontId="1" numFmtId="0" xfId="0" applyAlignment="1" applyBorder="1" applyFont="1">
      <alignment vertical="center"/>
    </xf>
    <xf borderId="12" fillId="2" fontId="1" numFmtId="0" xfId="0" applyAlignment="1" applyBorder="1" applyFont="1">
      <alignment vertical="center"/>
    </xf>
    <xf borderId="13" fillId="0" fontId="1" numFmtId="38" xfId="0" applyAlignment="1" applyBorder="1" applyFont="1" applyNumberFormat="1">
      <alignment vertical="center"/>
    </xf>
    <xf borderId="13" fillId="0" fontId="1" numFmtId="9" xfId="0" applyAlignment="1" applyBorder="1" applyFont="1" applyNumberFormat="1">
      <alignment vertical="center"/>
    </xf>
  </cellXfs>
  <cellStyles count="1">
    <cellStyle xfId="0" name="Normal" builtinId="0"/>
  </cellStyles>
  <dxfs count="1">
    <dxf>
      <font/>
      <fill>
        <patternFill patternType="solid">
          <fgColor rgb="FFFEF2CB"/>
          <bgColor rgb="FFFEF2CB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57"/>
    <col customWidth="1" min="2" max="2" width="60.57"/>
    <col customWidth="1" min="3" max="6" width="9.0"/>
    <col customWidth="1" min="7" max="26" width="8.71"/>
  </cols>
  <sheetData>
    <row r="1" ht="15.75" customHeight="1">
      <c r="A1" s="1" t="s">
        <v>0</v>
      </c>
      <c r="B1" s="2">
        <v>104.92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75" customHeight="1">
      <c r="A2" s="1" t="s">
        <v>1</v>
      </c>
      <c r="B2" s="4" t="s">
        <v>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75" customHeight="1">
      <c r="A3" s="1" t="s">
        <v>3</v>
      </c>
      <c r="B3" s="5" t="s">
        <v>4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75" customHeight="1">
      <c r="A4" s="1" t="s">
        <v>5</v>
      </c>
      <c r="B4" s="6">
        <v>34538.0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75" customHeight="1">
      <c r="A5" s="1" t="s">
        <v>6</v>
      </c>
      <c r="B5" s="5" t="s">
        <v>7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1" t="s">
        <v>8</v>
      </c>
      <c r="B6" s="5" t="s">
        <v>9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75" customHeight="1">
      <c r="A7" s="1" t="s">
        <v>10</v>
      </c>
      <c r="B7" s="5" t="s">
        <v>11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75" customHeight="1">
      <c r="A8" s="1" t="s">
        <v>12</v>
      </c>
      <c r="B8" s="5" t="s">
        <v>13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75" customHeight="1">
      <c r="A9" s="1" t="s">
        <v>14</v>
      </c>
      <c r="B9" s="5" t="s">
        <v>15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75" customHeight="1">
      <c r="A10" s="1" t="s">
        <v>16</v>
      </c>
      <c r="B10" s="5" t="s">
        <v>17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75" customHeight="1">
      <c r="A11" s="1" t="s">
        <v>18</v>
      </c>
      <c r="B11" s="5" t="s">
        <v>19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75" customHeight="1">
      <c r="A12" s="1" t="s">
        <v>20</v>
      </c>
      <c r="B12" s="5" t="s">
        <v>21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75" customHeight="1">
      <c r="A13" s="1" t="s">
        <v>22</v>
      </c>
      <c r="B13" s="5" t="s">
        <v>23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75" customHeight="1">
      <c r="A14" s="1" t="s">
        <v>24</v>
      </c>
      <c r="B14" s="5" t="s">
        <v>25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75" customHeight="1">
      <c r="A15" s="1" t="s">
        <v>26</v>
      </c>
      <c r="B15" s="5" t="s">
        <v>27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75" customHeight="1">
      <c r="A16" s="1" t="s">
        <v>28</v>
      </c>
      <c r="B16" s="7">
        <v>421000.0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75" customHeight="1">
      <c r="A17" s="1" t="s">
        <v>29</v>
      </c>
      <c r="B17" s="5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75" customHeight="1">
      <c r="A18" s="1" t="s">
        <v>30</v>
      </c>
      <c r="B18" s="7">
        <v>42100.0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75" customHeight="1">
      <c r="A19" s="1" t="s">
        <v>31</v>
      </c>
      <c r="B19" s="5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75" customHeight="1">
      <c r="A20" s="1" t="s">
        <v>32</v>
      </c>
      <c r="B20" s="7">
        <v>42100.0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1" t="s">
        <v>33</v>
      </c>
      <c r="B21" s="7">
        <v>5262.5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1" t="s">
        <v>34</v>
      </c>
      <c r="B22" s="6">
        <v>44682.0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1" t="s">
        <v>35</v>
      </c>
      <c r="B23" s="8">
        <v>8.0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1" t="s">
        <v>36</v>
      </c>
      <c r="B24" s="7">
        <v>5262.5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1" t="s">
        <v>37</v>
      </c>
      <c r="B25" s="9">
        <v>0.05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1" t="s">
        <v>38</v>
      </c>
      <c r="B26" s="10">
        <v>0.01475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1" t="s">
        <v>39</v>
      </c>
      <c r="B27" s="10">
        <v>0.03525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1" t="s">
        <v>40</v>
      </c>
      <c r="B28" s="11">
        <v>0.0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1" t="s">
        <v>41</v>
      </c>
      <c r="B29" s="5" t="s">
        <v>42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1" t="s">
        <v>43</v>
      </c>
      <c r="B30" s="5" t="s">
        <v>44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1" t="s">
        <v>45</v>
      </c>
      <c r="B31" s="5" t="s">
        <v>46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1" t="s">
        <v>47</v>
      </c>
      <c r="B32" s="12">
        <v>3086.33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1" t="s">
        <v>48</v>
      </c>
      <c r="B33" s="12">
        <v>208.57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1" t="s">
        <v>49</v>
      </c>
      <c r="B34" s="5" t="s">
        <v>50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1" t="s">
        <v>51</v>
      </c>
      <c r="B35" s="7">
        <v>320435.0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1" t="s">
        <v>52</v>
      </c>
      <c r="B36" s="13">
        <v>2005.0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1" t="s">
        <v>53</v>
      </c>
      <c r="B37" s="11">
        <v>2000.0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1" t="s">
        <v>54</v>
      </c>
      <c r="B38" s="11">
        <v>0.0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1" t="s">
        <v>55</v>
      </c>
      <c r="B39" s="14" t="s">
        <v>56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1" t="s">
        <v>57</v>
      </c>
      <c r="B40" s="15">
        <v>98.0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1" t="s">
        <v>58</v>
      </c>
      <c r="B41" s="6">
        <v>44287.0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1" t="s">
        <v>59</v>
      </c>
      <c r="B42" s="6">
        <v>47239.0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1" t="s">
        <v>60</v>
      </c>
      <c r="B43" s="6">
        <v>44252.0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1" t="s">
        <v>61</v>
      </c>
      <c r="B44" s="5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1" t="s">
        <v>62</v>
      </c>
      <c r="B45" s="5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1" t="s">
        <v>63</v>
      </c>
      <c r="B46" s="5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1" t="s">
        <v>64</v>
      </c>
      <c r="B47" s="5" t="s">
        <v>65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1" t="s">
        <v>66</v>
      </c>
      <c r="B48" s="6">
        <v>44236.0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1" t="s">
        <v>67</v>
      </c>
      <c r="B49" s="6">
        <v>44244.0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1" t="s">
        <v>68</v>
      </c>
      <c r="B50" s="5" t="s">
        <v>69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1" t="s">
        <v>70</v>
      </c>
      <c r="B51" s="5" t="s">
        <v>71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1" t="s">
        <v>72</v>
      </c>
      <c r="B52" s="5" t="s">
        <v>73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1" t="s">
        <v>74</v>
      </c>
      <c r="B53" s="5" t="s">
        <v>75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1" t="s">
        <v>76</v>
      </c>
      <c r="B54" s="5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1" t="s">
        <v>77</v>
      </c>
      <c r="B55" s="6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1" t="s">
        <v>78</v>
      </c>
      <c r="B56" s="16">
        <v>0.1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17" t="s">
        <v>79</v>
      </c>
      <c r="B57" s="18" t="s">
        <v>80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17" t="s">
        <v>81</v>
      </c>
      <c r="B58" s="18" t="str">
        <f>IF(LENB(B31)&gt;1,LEFT(B31,2),"")</f>
        <v>GA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17" t="s">
        <v>82</v>
      </c>
      <c r="B59" s="19">
        <f>TODAY()</f>
        <v>44969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20" t="s">
        <v>83</v>
      </c>
      <c r="B60" s="21">
        <f t="array" ref="B60">IF(INDEX('固定値'!D$3:H$19,MATCH(B$2,'固定値'!B$3:B$19,0),1)&gt;0,INDEX('固定値'!D$3:H$19,MATCH(B$2,'固定値'!B$3:B$19,0),1),"")</f>
        <v>8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20" t="s">
        <v>84</v>
      </c>
      <c r="B61" s="22">
        <f t="array" ref="B61">IF(INDEX('固定値'!D$3:H$19,MATCH(B$2,'固定値'!B$3:B$19,0),2)&gt;0,INDEX('固定値'!D$3:H$19,MATCH(B$2,'固定値'!B$3:B$19,0),2),"")</f>
        <v>5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20" t="s">
        <v>85</v>
      </c>
      <c r="B62" s="23">
        <f t="array" ref="B62">IF(INDEX('固定値'!D$3:H$19,MATCH(B$2,'固定値'!B$3:B$19,0),3)&gt;0,INDEX('固定値'!D$3:H$19,MATCH(B$2,'固定値'!B$3:B$19,0),3),0)</f>
        <v>0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20" t="s">
        <v>86</v>
      </c>
      <c r="B63" s="23">
        <f t="array" ref="B63">IF(INDEX('固定値'!D$3:H$19,MATCH(B$2,'固定値'!B$3:B$19,0),4)&gt;0,INDEX('固定値'!D$3:H$19,MATCH(B$2,'固定値'!B$3:B$19,0),4),0)</f>
        <v>0.01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20" t="s">
        <v>87</v>
      </c>
      <c r="B64" s="23">
        <f t="array" ref="B64">IF(INDEX('固定値'!D$3:H$19,MATCH(B$2,'固定値'!B$3:B$19,0),5)&gt;0,INDEX('固定値'!D$3:H$19,MATCH(B$2,'固定値'!B$3:B$19,0),5),0)</f>
        <v>0.1</v>
      </c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1" t="s">
        <v>88</v>
      </c>
      <c r="B65" s="24">
        <f t="shared" ref="B65:B67" si="1">B41</f>
        <v>44287</v>
      </c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1" t="s">
        <v>89</v>
      </c>
      <c r="B66" s="24">
        <f t="shared" si="1"/>
        <v>47239</v>
      </c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1" t="s">
        <v>90</v>
      </c>
      <c r="B67" s="24">
        <f t="shared" si="1"/>
        <v>44252</v>
      </c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1" t="s">
        <v>91</v>
      </c>
      <c r="B68" s="24">
        <f t="shared" ref="B68:B69" si="2">B48</f>
        <v>44236</v>
      </c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1" t="s">
        <v>92</v>
      </c>
      <c r="B69" s="24">
        <f t="shared" si="2"/>
        <v>44244</v>
      </c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1" t="s">
        <v>93</v>
      </c>
      <c r="B70" s="24">
        <f>B41</f>
        <v>44287</v>
      </c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ataValidations>
    <dataValidation type="list" allowBlank="1" showErrorMessage="1" sqref="B2">
      <formula1>'固定値'!$B$3:$B$19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2" width="15.57"/>
    <col customWidth="1" min="3" max="3" width="9.0"/>
    <col customWidth="1" min="4" max="9" width="15.57"/>
    <col customWidth="1" min="10" max="10" width="6.86"/>
    <col customWidth="1" min="11" max="14" width="9.0"/>
    <col customWidth="1" min="15" max="26" width="8.71"/>
  </cols>
  <sheetData>
    <row r="1" ht="33.0" customHeight="1">
      <c r="A1" s="25" t="str">
        <f>'入力シート'!B2&amp;" 実質年率計算シート（"&amp;'入力シート'!B39&amp;" 毎月利息弁済・"&amp;F5&amp;"月定額元金弁済）"</f>
        <v>2054 実質年率計算シート（8年2ヶ月 毎月利息弁済・5月定額元金弁済）</v>
      </c>
      <c r="B1" s="26"/>
      <c r="C1" s="26"/>
      <c r="D1" s="26"/>
      <c r="E1" s="26"/>
      <c r="F1" s="26"/>
      <c r="G1" s="26"/>
      <c r="H1" s="26"/>
      <c r="I1" s="26"/>
      <c r="J1" s="27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75" customHeight="1">
      <c r="A2" s="28"/>
      <c r="B2" s="28"/>
      <c r="C2" s="28"/>
      <c r="D2" s="3"/>
      <c r="E2" s="3"/>
      <c r="F2" s="29" t="str">
        <f>'入力シート'!B47</f>
        <v>2610 Runic Way, Alpharetta, GA 30022</v>
      </c>
      <c r="G2" s="30"/>
      <c r="H2" s="30"/>
      <c r="I2" s="30"/>
      <c r="J2" s="31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33.0" customHeight="1">
      <c r="A3" s="32" t="s">
        <v>3</v>
      </c>
      <c r="B3" s="33" t="str">
        <f>'入力シート'!B3</f>
        <v>田中 太郎</v>
      </c>
      <c r="C3" s="28"/>
      <c r="D3" s="3"/>
      <c r="E3" s="34" t="s">
        <v>55</v>
      </c>
      <c r="F3" s="35" t="str">
        <f>'入力シート'!B39</f>
        <v>8年2ヶ月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33.0" customHeight="1">
      <c r="A4" s="32" t="s">
        <v>28</v>
      </c>
      <c r="B4" s="36">
        <f>'入力シート'!B16</f>
        <v>421000</v>
      </c>
      <c r="C4" s="28"/>
      <c r="D4" s="3"/>
      <c r="E4" s="37" t="s">
        <v>83</v>
      </c>
      <c r="F4" s="38">
        <f>'入力シート'!B60</f>
        <v>8</v>
      </c>
      <c r="G4" s="32" t="s">
        <v>85</v>
      </c>
      <c r="H4" s="39">
        <f>'入力シート'!B62</f>
        <v>0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33.0" customHeight="1">
      <c r="A5" s="32" t="s">
        <v>94</v>
      </c>
      <c r="B5" s="40">
        <f>'入力シート'!B56</f>
        <v>0.1</v>
      </c>
      <c r="C5" s="28"/>
      <c r="D5" s="28"/>
      <c r="E5" s="32" t="s">
        <v>84</v>
      </c>
      <c r="F5" s="38">
        <f>'入力シート'!B61</f>
        <v>5</v>
      </c>
      <c r="G5" s="41" t="s">
        <v>95</v>
      </c>
      <c r="H5" s="42" t="str">
        <f>#REF!/(B4*B7)</f>
        <v>#REF!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33.0" customHeight="1">
      <c r="A6" s="32" t="s">
        <v>96</v>
      </c>
      <c r="B6" s="43">
        <f>'入力シート'!B18</f>
        <v>42100</v>
      </c>
      <c r="C6" s="28"/>
      <c r="D6" s="28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33.0" customHeight="1">
      <c r="A7" s="32" t="s">
        <v>97</v>
      </c>
      <c r="B7" s="44">
        <f>B9+0.99</f>
        <v>105.91</v>
      </c>
      <c r="C7" s="28"/>
      <c r="D7" s="28"/>
      <c r="E7" s="32" t="s">
        <v>98</v>
      </c>
      <c r="F7" s="45" t="str">
        <f>ROUNDDOWN((H7)/#REF!,5)</f>
        <v>#REF!</v>
      </c>
      <c r="G7" s="37" t="s">
        <v>99</v>
      </c>
      <c r="H7" s="46" t="str">
        <f>#REF!+#REF!</f>
        <v>#REF!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33.0" customHeight="1">
      <c r="A8" s="32" t="s">
        <v>100</v>
      </c>
      <c r="B8" s="46">
        <f>ROUND(B6*B7,0)</f>
        <v>4458811</v>
      </c>
      <c r="C8" s="28"/>
      <c r="D8" s="28"/>
      <c r="E8" s="37" t="s">
        <v>101</v>
      </c>
      <c r="F8" s="46" t="str">
        <f>#REF!+#REF!</f>
        <v>#REF!</v>
      </c>
      <c r="G8" s="32" t="s">
        <v>102</v>
      </c>
      <c r="H8" s="46" t="str">
        <f>ABS(#REF!)</f>
        <v>#REF!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33.0" customHeight="1">
      <c r="A9" s="37" t="s">
        <v>103</v>
      </c>
      <c r="B9" s="47">
        <f>'入力シート'!B1</f>
        <v>104.92</v>
      </c>
      <c r="C9" s="28"/>
      <c r="D9" s="28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33.0" customHeight="1">
      <c r="A10" s="32" t="s">
        <v>104</v>
      </c>
      <c r="B10" s="46">
        <f>INT(B6*B9)</f>
        <v>4417132</v>
      </c>
      <c r="C10" s="28"/>
      <c r="D10" s="28"/>
      <c r="E10" s="32" t="s">
        <v>105</v>
      </c>
      <c r="F10" s="46">
        <f>E24</f>
        <v>18578</v>
      </c>
      <c r="G10" s="37" t="s">
        <v>106</v>
      </c>
      <c r="H10" s="46">
        <f>INT(B4*B7*((B5-H4)/F4))</f>
        <v>557351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33.0" customHeight="1">
      <c r="A11" s="32" t="s">
        <v>107</v>
      </c>
      <c r="B11" s="46">
        <f>B8-B10</f>
        <v>41679</v>
      </c>
      <c r="C11" s="28"/>
      <c r="D11" s="28"/>
      <c r="E11" s="32" t="s">
        <v>108</v>
      </c>
      <c r="F11" s="46" t="str">
        <f>#REF!+#REF!</f>
        <v>#REF!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33.0" customHeight="1">
      <c r="A12" s="48" t="s">
        <v>54</v>
      </c>
      <c r="B12" s="49">
        <f>'入力シート'!B38</f>
        <v>0</v>
      </c>
      <c r="C12" s="28"/>
      <c r="D12" s="28"/>
      <c r="E12" s="32" t="s">
        <v>109</v>
      </c>
      <c r="F12" s="46" t="str">
        <f>VLOOKUP('入力シート'!B22,B22:F24,5,0)</f>
        <v>#N/A</v>
      </c>
      <c r="G12" s="34" t="s">
        <v>110</v>
      </c>
      <c r="H12" s="50" t="str">
        <f>IF(B8=F12*F4,"OK",B8-F12*F4)</f>
        <v>#N/A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75" customHeight="1">
      <c r="A13" s="51" t="s">
        <v>111</v>
      </c>
      <c r="B13" s="52"/>
      <c r="C13" s="28"/>
      <c r="D13" s="28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33.0" customHeight="1">
      <c r="A14" s="32" t="s">
        <v>37</v>
      </c>
      <c r="B14" s="53">
        <f>'入力シート'!B25</f>
        <v>0.05</v>
      </c>
      <c r="C14" s="28"/>
      <c r="D14" s="28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75" customHeight="1">
      <c r="A15" s="28"/>
      <c r="B15" s="54"/>
      <c r="C15" s="28"/>
      <c r="D15" s="28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33.0" customHeight="1">
      <c r="A16" s="32" t="s">
        <v>40</v>
      </c>
      <c r="B16" s="46">
        <f>INT(INT(B8*E16)*(1+E17))</f>
        <v>49046</v>
      </c>
      <c r="C16" s="28"/>
      <c r="D16" s="32" t="s">
        <v>86</v>
      </c>
      <c r="E16" s="53">
        <f>'入力シート'!B63</f>
        <v>0.01</v>
      </c>
      <c r="F16" s="3"/>
      <c r="G16" s="32" t="s">
        <v>112</v>
      </c>
      <c r="H16" s="3"/>
      <c r="I16" s="32" t="s">
        <v>113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33.0" customHeight="1">
      <c r="A17" s="3"/>
      <c r="B17" s="3"/>
      <c r="C17" s="28"/>
      <c r="D17" s="32" t="s">
        <v>87</v>
      </c>
      <c r="E17" s="39">
        <f>'入力シート'!B64</f>
        <v>0.1</v>
      </c>
      <c r="F17" s="3"/>
      <c r="G17" s="55">
        <f>WORKDAY('入力シート'!B49,-3,'休日'!A2:A51)</f>
        <v>44239</v>
      </c>
      <c r="H17" s="3"/>
      <c r="I17" s="56">
        <f>IF('入力シート'!B49="","",DATE(YEAR('入力シート'!B49),MONTH('入力シート'!B49)+1,0)-'入力シート'!B49+1)</f>
        <v>12</v>
      </c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33.0" customHeight="1">
      <c r="A18" s="3"/>
      <c r="B18" s="3"/>
      <c r="C18" s="28"/>
      <c r="D18" s="28"/>
      <c r="E18" s="3"/>
      <c r="F18" s="3"/>
      <c r="G18" s="3"/>
      <c r="H18" s="3"/>
      <c r="I18" s="32" t="s">
        <v>114</v>
      </c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33.0" customHeight="1">
      <c r="A19" s="3"/>
      <c r="B19" s="3"/>
      <c r="C19" s="28"/>
      <c r="D19" s="28"/>
      <c r="E19" s="3"/>
      <c r="F19" s="3"/>
      <c r="G19" s="3"/>
      <c r="H19" s="3"/>
      <c r="I19" s="46">
        <f>INT(B8*B14*I17/365)</f>
        <v>7329</v>
      </c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75" customHeight="1">
      <c r="A20" s="3"/>
      <c r="B20" s="3"/>
      <c r="C20" s="28"/>
      <c r="D20" s="28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57" t="s">
        <v>115</v>
      </c>
      <c r="B21" s="57" t="s">
        <v>116</v>
      </c>
      <c r="C21" s="58" t="s">
        <v>117</v>
      </c>
      <c r="D21" s="57" t="s">
        <v>118</v>
      </c>
      <c r="E21" s="57" t="s">
        <v>119</v>
      </c>
      <c r="F21" s="57" t="s">
        <v>120</v>
      </c>
      <c r="G21" s="57" t="s">
        <v>121</v>
      </c>
      <c r="H21" s="57" t="s">
        <v>122</v>
      </c>
      <c r="I21" s="57" t="s">
        <v>123</v>
      </c>
      <c r="J21" s="57" t="s">
        <v>124</v>
      </c>
      <c r="K21" s="28"/>
      <c r="L21" s="28" t="s">
        <v>125</v>
      </c>
      <c r="M21" s="28" t="s">
        <v>126</v>
      </c>
      <c r="N21" s="28" t="s">
        <v>127</v>
      </c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32">
        <v>0.0</v>
      </c>
      <c r="B22" s="59">
        <f>'入力シート'!B49</f>
        <v>44244</v>
      </c>
      <c r="C22" s="60" t="str">
        <f t="shared" ref="C22:C24" si="1">IF(AND(L22=1,F$4&gt;=M22),M22,"")</f>
        <v/>
      </c>
      <c r="D22" s="56">
        <f>B16+B11</f>
        <v>90725</v>
      </c>
      <c r="E22" s="60">
        <v>0.0</v>
      </c>
      <c r="F22" s="60">
        <f t="shared" ref="F22:F24" si="2">IF(C22&lt;&gt;"",H$10,0)</f>
        <v>0</v>
      </c>
      <c r="G22" s="60">
        <f>B8-F22</f>
        <v>4458811</v>
      </c>
      <c r="H22" s="60">
        <f t="shared" ref="H22:H24" si="3">IF(G22&gt;0,G22,0)</f>
        <v>4458811</v>
      </c>
      <c r="I22" s="61"/>
      <c r="J22" s="60"/>
      <c r="K22" s="28"/>
      <c r="L22" s="62">
        <f>IF(AND(B22&gt;='入力シート'!B$22,A22&lt;='入力シート'!B$40),IF(MONTH(B22)=F$5,1,0),0)</f>
        <v>0</v>
      </c>
      <c r="M22" s="28">
        <f t="shared" ref="M22:M24" si="4">SUM(L$22:L22)</f>
        <v>0</v>
      </c>
      <c r="N22" s="63">
        <f>MOD(B8,F4)</f>
        <v>3</v>
      </c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32">
        <f t="shared" ref="A23:A24" si="5">A22+1</f>
        <v>1</v>
      </c>
      <c r="B23" s="59">
        <f>DATE(YEAR(B22),MONTH(B22)+2,1)</f>
        <v>44287</v>
      </c>
      <c r="C23" s="60" t="str">
        <f t="shared" si="1"/>
        <v/>
      </c>
      <c r="D23" s="60"/>
      <c r="E23" s="60">
        <f>INT(G22*B$14/12)+I19</f>
        <v>25907</v>
      </c>
      <c r="F23" s="60">
        <f t="shared" si="2"/>
        <v>0</v>
      </c>
      <c r="G23" s="60">
        <f t="shared" ref="G23:G24" si="6">G22-F23</f>
        <v>4458811</v>
      </c>
      <c r="H23" s="60">
        <f t="shared" si="3"/>
        <v>4458811</v>
      </c>
      <c r="I23" s="60">
        <f t="shared" ref="I23:I24" si="7">IF(G22&gt;0,ROUNDDOWN(H22*J23/365,0),0)</f>
        <v>525284</v>
      </c>
      <c r="J23" s="60">
        <f t="shared" ref="J23:J24" si="8">DATEDIF(B22,B23,"d")</f>
        <v>43</v>
      </c>
      <c r="K23" s="28"/>
      <c r="L23" s="62">
        <f>IF(AND(B23&gt;='入力シート'!B$22,A23&lt;='入力シート'!B$40),IF(MONTH(B23)=F$5,1,0),0)</f>
        <v>0</v>
      </c>
      <c r="M23" s="28">
        <f t="shared" si="4"/>
        <v>0</v>
      </c>
      <c r="N23" s="63">
        <f t="shared" ref="N23:N24" si="9">IF(N$22&gt;=M23,1,0)</f>
        <v>1</v>
      </c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32">
        <f t="shared" si="5"/>
        <v>2</v>
      </c>
      <c r="B24" s="59">
        <f>EDATE(B23,1)</f>
        <v>44317</v>
      </c>
      <c r="C24" s="60" t="str">
        <f t="shared" si="1"/>
        <v/>
      </c>
      <c r="D24" s="60"/>
      <c r="E24" s="60">
        <f>INT(G23*B$14/12)</f>
        <v>18578</v>
      </c>
      <c r="F24" s="60">
        <f t="shared" si="2"/>
        <v>0</v>
      </c>
      <c r="G24" s="60">
        <f t="shared" si="6"/>
        <v>4458811</v>
      </c>
      <c r="H24" s="60">
        <f t="shared" si="3"/>
        <v>4458811</v>
      </c>
      <c r="I24" s="60">
        <f t="shared" si="7"/>
        <v>366477</v>
      </c>
      <c r="J24" s="60">
        <f t="shared" si="8"/>
        <v>30</v>
      </c>
      <c r="K24" s="28"/>
      <c r="L24" s="62">
        <f>IF(AND(B24&gt;='入力シート'!B$22,A24&lt;='入力シート'!B$40),IF(MONTH(B24)=F$5,1,0),0)</f>
        <v>0</v>
      </c>
      <c r="M24" s="28">
        <f t="shared" si="4"/>
        <v>0</v>
      </c>
      <c r="N24" s="63">
        <f t="shared" si="9"/>
        <v>1</v>
      </c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2">
    <mergeCell ref="A1:J1"/>
    <mergeCell ref="F2:J2"/>
  </mergeCells>
  <conditionalFormatting sqref="F22:F24">
    <cfRule type="cellIs" dxfId="0" priority="1" operator="greaterThan">
      <formula>0</formula>
    </cfRule>
  </conditionalFormatting>
  <printOptions/>
  <pageMargins bottom="0.7874015748031497" footer="0.0" header="0.0" left="0.984251968503937" right="0.5905511811023623" top="0.7874015748031497"/>
  <pageSetup fitToHeight="0" paperSize="9" orientation="portrait"/>
  <headerFooter>
    <oddHeader>&amp;L00-048&amp;F&amp;C00-049　&amp;R00-049　</oddHeader>
    <oddFooter>&amp;L00-047　&amp;C00-047&amp;P&amp;R00-047●州国●_●商品区分●_20211001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0"/>
    <col customWidth="1" min="2" max="2" width="29.57"/>
    <col customWidth="1" min="3" max="6" width="9.0"/>
    <col customWidth="1" min="7" max="26" width="8.71"/>
  </cols>
  <sheetData>
    <row r="1" ht="15.75" customHeight="1">
      <c r="A1" s="3" t="s">
        <v>128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75" customHeight="1">
      <c r="A2" s="64">
        <v>44197.0</v>
      </c>
      <c r="B2" s="3" t="s">
        <v>129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75" customHeight="1">
      <c r="A3" s="64">
        <v>44207.0</v>
      </c>
      <c r="B3" s="3" t="s">
        <v>130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75" customHeight="1">
      <c r="A4" s="64">
        <v>44238.0</v>
      </c>
      <c r="B4" s="3" t="s">
        <v>131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75" customHeight="1">
      <c r="A5" s="64">
        <v>44250.0</v>
      </c>
      <c r="B5" s="3" t="s">
        <v>132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64">
        <v>44275.0</v>
      </c>
      <c r="B6" s="3" t="s">
        <v>133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75" customHeight="1">
      <c r="A7" s="64">
        <v>44315.0</v>
      </c>
      <c r="B7" s="3" t="s">
        <v>134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75" customHeight="1">
      <c r="A8" s="64">
        <v>44319.0</v>
      </c>
      <c r="B8" s="3" t="s">
        <v>135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75" customHeight="1">
      <c r="A9" s="64">
        <v>44320.0</v>
      </c>
      <c r="B9" s="3" t="s">
        <v>136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75" customHeight="1">
      <c r="A10" s="64">
        <v>44321.0</v>
      </c>
      <c r="B10" s="3" t="s">
        <v>137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75" customHeight="1">
      <c r="A11" s="64">
        <v>44399.0</v>
      </c>
      <c r="B11" s="3" t="s">
        <v>138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75" customHeight="1">
      <c r="A12" s="64">
        <v>44400.0</v>
      </c>
      <c r="B12" s="3" t="s">
        <v>139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75" customHeight="1">
      <c r="A13" s="64">
        <v>44416.0</v>
      </c>
      <c r="B13" s="3" t="s">
        <v>140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75" customHeight="1">
      <c r="A14" s="64">
        <v>44417.0</v>
      </c>
      <c r="B14" s="3" t="s">
        <v>141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75" customHeight="1">
      <c r="A15" s="64">
        <v>44459.0</v>
      </c>
      <c r="B15" s="3" t="s">
        <v>142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75" customHeight="1">
      <c r="A16" s="64">
        <v>44462.0</v>
      </c>
      <c r="B16" s="3" t="s">
        <v>143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75" customHeight="1">
      <c r="A17" s="64">
        <v>44503.0</v>
      </c>
      <c r="B17" s="3" t="s">
        <v>144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75" customHeight="1">
      <c r="A18" s="64">
        <v>44523.0</v>
      </c>
      <c r="B18" s="3" t="s">
        <v>145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75" customHeight="1">
      <c r="A19" s="64">
        <v>44562.0</v>
      </c>
      <c r="B19" s="3" t="s">
        <v>129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75" customHeight="1">
      <c r="A20" s="64">
        <v>44571.0</v>
      </c>
      <c r="B20" s="3" t="s">
        <v>130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64">
        <v>44603.0</v>
      </c>
      <c r="B21" s="3" t="s">
        <v>131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64">
        <v>44615.0</v>
      </c>
      <c r="B22" s="3" t="s">
        <v>132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64">
        <v>44641.0</v>
      </c>
      <c r="B23" s="3" t="s">
        <v>133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64">
        <v>44680.0</v>
      </c>
      <c r="B24" s="3" t="s">
        <v>134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64">
        <v>44684.0</v>
      </c>
      <c r="B25" s="3" t="s">
        <v>135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64">
        <v>44685.0</v>
      </c>
      <c r="B26" s="3" t="s">
        <v>136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64">
        <v>44686.0</v>
      </c>
      <c r="B27" s="3" t="s">
        <v>137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64">
        <v>44760.0</v>
      </c>
      <c r="B28" s="3" t="s">
        <v>138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64">
        <v>44784.0</v>
      </c>
      <c r="B29" s="3" t="s">
        <v>140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64">
        <v>44823.0</v>
      </c>
      <c r="B30" s="3" t="s">
        <v>142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64">
        <v>44827.0</v>
      </c>
      <c r="B31" s="3" t="s">
        <v>143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64">
        <v>44844.0</v>
      </c>
      <c r="B32" s="3" t="s">
        <v>139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64">
        <v>44868.0</v>
      </c>
      <c r="B33" s="3" t="s">
        <v>144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64">
        <v>44888.0</v>
      </c>
      <c r="B34" s="3" t="s">
        <v>145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65">
        <v>44927.0</v>
      </c>
      <c r="B35" s="3" t="s">
        <v>129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65">
        <v>44928.0</v>
      </c>
      <c r="B36" s="3" t="s">
        <v>141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65">
        <v>44935.0</v>
      </c>
      <c r="B37" s="3" t="s">
        <v>130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65">
        <v>44968.0</v>
      </c>
      <c r="B38" s="3" t="s">
        <v>131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65">
        <v>44980.0</v>
      </c>
      <c r="B39" s="3" t="s">
        <v>132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65">
        <v>45006.0</v>
      </c>
      <c r="B40" s="3" t="s">
        <v>133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65">
        <v>45045.0</v>
      </c>
      <c r="B41" s="3" t="s">
        <v>134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65">
        <v>45049.0</v>
      </c>
      <c r="B42" s="3" t="s">
        <v>135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65">
        <v>45050.0</v>
      </c>
      <c r="B43" s="3" t="s">
        <v>136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65">
        <v>45051.0</v>
      </c>
      <c r="B44" s="3" t="s">
        <v>137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65">
        <v>45124.0</v>
      </c>
      <c r="B45" s="3" t="s">
        <v>138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65">
        <v>45149.0</v>
      </c>
      <c r="B46" s="3" t="s">
        <v>140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65">
        <v>45187.0</v>
      </c>
      <c r="B47" s="3" t="s">
        <v>142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65">
        <v>45192.0</v>
      </c>
      <c r="B48" s="3" t="s">
        <v>143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65">
        <v>45208.0</v>
      </c>
      <c r="B49" s="3" t="s">
        <v>146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65">
        <v>45233.0</v>
      </c>
      <c r="B50" s="3" t="s">
        <v>144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65">
        <v>45253.0</v>
      </c>
      <c r="B51" s="3" t="s">
        <v>145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29"/>
    <col customWidth="1" min="2" max="2" width="20.57"/>
    <col customWidth="1" min="3" max="3" width="34.43"/>
    <col customWidth="1" min="4" max="4" width="11.57"/>
    <col customWidth="1" min="5" max="5" width="11.29"/>
    <col customWidth="1" min="6" max="6" width="15.0"/>
    <col customWidth="1" min="7" max="8" width="9.29"/>
    <col customWidth="1" min="9" max="26" width="8.71"/>
  </cols>
  <sheetData>
    <row r="1" ht="15.75" customHeight="1">
      <c r="A1" s="3"/>
      <c r="B1" s="3"/>
      <c r="C1" s="3"/>
      <c r="D1" s="66" t="s">
        <v>147</v>
      </c>
      <c r="E1" s="66"/>
      <c r="F1" s="66"/>
      <c r="G1" s="66"/>
      <c r="H1" s="66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75" customHeight="1">
      <c r="A2" s="67" t="s">
        <v>148</v>
      </c>
      <c r="B2" s="67" t="s">
        <v>149</v>
      </c>
      <c r="C2" s="67" t="s">
        <v>150</v>
      </c>
      <c r="D2" s="67" t="s">
        <v>151</v>
      </c>
      <c r="E2" s="67" t="s">
        <v>84</v>
      </c>
      <c r="F2" s="67" t="s">
        <v>152</v>
      </c>
      <c r="G2" s="67" t="s">
        <v>86</v>
      </c>
      <c r="H2" s="67" t="s">
        <v>87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75" customHeight="1">
      <c r="A3" s="68" t="s">
        <v>153</v>
      </c>
      <c r="B3" s="68" t="s">
        <v>154</v>
      </c>
      <c r="C3" s="68" t="s">
        <v>155</v>
      </c>
      <c r="D3" s="69"/>
      <c r="E3" s="69"/>
      <c r="F3" s="70"/>
      <c r="G3" s="70">
        <v>0.01</v>
      </c>
      <c r="H3" s="70">
        <v>0.1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75" customHeight="1">
      <c r="A4" s="68"/>
      <c r="B4" s="68" t="s">
        <v>156</v>
      </c>
      <c r="C4" s="68" t="s">
        <v>155</v>
      </c>
      <c r="D4" s="69"/>
      <c r="E4" s="69"/>
      <c r="F4" s="70"/>
      <c r="G4" s="70">
        <v>0.01</v>
      </c>
      <c r="H4" s="70">
        <v>0.1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75" customHeight="1">
      <c r="A5" s="68"/>
      <c r="B5" s="71" t="s">
        <v>2</v>
      </c>
      <c r="C5" s="68" t="s">
        <v>157</v>
      </c>
      <c r="D5" s="69">
        <v>8.0</v>
      </c>
      <c r="E5" s="69">
        <v>5.0</v>
      </c>
      <c r="F5" s="70">
        <v>0.0</v>
      </c>
      <c r="G5" s="70">
        <v>0.01</v>
      </c>
      <c r="H5" s="70">
        <v>0.1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68"/>
      <c r="B6" s="71" t="s">
        <v>158</v>
      </c>
      <c r="C6" s="68" t="s">
        <v>159</v>
      </c>
      <c r="D6" s="69">
        <v>4.0</v>
      </c>
      <c r="E6" s="69">
        <v>5.0</v>
      </c>
      <c r="F6" s="70">
        <v>0.0</v>
      </c>
      <c r="G6" s="70">
        <v>0.01</v>
      </c>
      <c r="H6" s="70">
        <v>0.1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75" customHeight="1">
      <c r="A7" s="68"/>
      <c r="B7" s="68" t="s">
        <v>160</v>
      </c>
      <c r="C7" s="68" t="s">
        <v>161</v>
      </c>
      <c r="D7" s="69">
        <v>8.0</v>
      </c>
      <c r="E7" s="69">
        <v>5.0</v>
      </c>
      <c r="F7" s="70">
        <v>0.5</v>
      </c>
      <c r="G7" s="70">
        <v>0.01</v>
      </c>
      <c r="H7" s="70">
        <v>0.1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75" customHeight="1">
      <c r="A8" s="68"/>
      <c r="B8" s="68" t="s">
        <v>162</v>
      </c>
      <c r="C8" s="68" t="s">
        <v>155</v>
      </c>
      <c r="D8" s="69"/>
      <c r="E8" s="69"/>
      <c r="F8" s="70"/>
      <c r="G8" s="70">
        <v>0.01</v>
      </c>
      <c r="H8" s="70">
        <v>0.1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75" customHeight="1">
      <c r="A9" s="68"/>
      <c r="B9" s="68" t="s">
        <v>163</v>
      </c>
      <c r="C9" s="68" t="s">
        <v>161</v>
      </c>
      <c r="D9" s="69">
        <v>8.0</v>
      </c>
      <c r="E9" s="69">
        <v>5.0</v>
      </c>
      <c r="F9" s="70">
        <v>0.5</v>
      </c>
      <c r="G9" s="70">
        <v>0.01</v>
      </c>
      <c r="H9" s="70">
        <v>0.1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75" customHeight="1">
      <c r="A10" s="68" t="s">
        <v>164</v>
      </c>
      <c r="B10" s="68" t="s">
        <v>165</v>
      </c>
      <c r="C10" s="68" t="s">
        <v>155</v>
      </c>
      <c r="D10" s="69"/>
      <c r="E10" s="69"/>
      <c r="F10" s="70"/>
      <c r="G10" s="70">
        <v>0.01</v>
      </c>
      <c r="H10" s="70">
        <v>0.1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75" customHeight="1">
      <c r="A11" s="68"/>
      <c r="B11" s="68" t="s">
        <v>166</v>
      </c>
      <c r="C11" s="68" t="s">
        <v>155</v>
      </c>
      <c r="D11" s="69"/>
      <c r="E11" s="69"/>
      <c r="F11" s="70"/>
      <c r="G11" s="70">
        <v>0.01</v>
      </c>
      <c r="H11" s="70">
        <v>0.1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75" customHeight="1">
      <c r="A12" s="68"/>
      <c r="B12" s="68" t="s">
        <v>167</v>
      </c>
      <c r="C12" s="68" t="s">
        <v>161</v>
      </c>
      <c r="D12" s="69">
        <v>8.0</v>
      </c>
      <c r="E12" s="69">
        <v>5.0</v>
      </c>
      <c r="F12" s="70">
        <v>0.5</v>
      </c>
      <c r="G12" s="70">
        <v>0.01</v>
      </c>
      <c r="H12" s="70">
        <v>0.1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75" customHeight="1">
      <c r="A13" s="68"/>
      <c r="B13" s="68" t="s">
        <v>168</v>
      </c>
      <c r="C13" s="68" t="s">
        <v>155</v>
      </c>
      <c r="D13" s="69"/>
      <c r="E13" s="69"/>
      <c r="F13" s="70"/>
      <c r="G13" s="70">
        <v>0.01</v>
      </c>
      <c r="H13" s="70">
        <v>0.1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75" customHeight="1">
      <c r="A14" s="68"/>
      <c r="B14" s="68" t="s">
        <v>169</v>
      </c>
      <c r="C14" s="68" t="s">
        <v>161</v>
      </c>
      <c r="D14" s="69">
        <v>8.0</v>
      </c>
      <c r="E14" s="69">
        <v>5.0</v>
      </c>
      <c r="F14" s="70">
        <v>0.5</v>
      </c>
      <c r="G14" s="70">
        <v>0.01</v>
      </c>
      <c r="H14" s="70">
        <v>0.1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75" customHeight="1">
      <c r="A15" s="68" t="s">
        <v>170</v>
      </c>
      <c r="B15" s="68" t="s">
        <v>171</v>
      </c>
      <c r="C15" s="68" t="s">
        <v>155</v>
      </c>
      <c r="D15" s="69"/>
      <c r="E15" s="69"/>
      <c r="F15" s="70"/>
      <c r="G15" s="70">
        <v>0.01</v>
      </c>
      <c r="H15" s="70">
        <v>0.1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75" customHeight="1">
      <c r="A16" s="68"/>
      <c r="B16" s="68" t="s">
        <v>172</v>
      </c>
      <c r="C16" s="68" t="s">
        <v>161</v>
      </c>
      <c r="D16" s="69">
        <v>8.0</v>
      </c>
      <c r="E16" s="69">
        <v>5.0</v>
      </c>
      <c r="F16" s="70">
        <v>0.5</v>
      </c>
      <c r="G16" s="70">
        <v>0.01</v>
      </c>
      <c r="H16" s="70">
        <v>0.1</v>
      </c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75" customHeight="1">
      <c r="A17" s="68"/>
      <c r="B17" s="68" t="s">
        <v>173</v>
      </c>
      <c r="C17" s="68" t="s">
        <v>161</v>
      </c>
      <c r="D17" s="69">
        <v>8.0</v>
      </c>
      <c r="E17" s="69">
        <v>5.0</v>
      </c>
      <c r="F17" s="70">
        <v>0.5</v>
      </c>
      <c r="G17" s="70">
        <v>0.01</v>
      </c>
      <c r="H17" s="70">
        <v>0.1</v>
      </c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75" customHeight="1">
      <c r="A18" s="68"/>
      <c r="B18" s="68" t="s">
        <v>174</v>
      </c>
      <c r="C18" s="68" t="s">
        <v>155</v>
      </c>
      <c r="D18" s="69"/>
      <c r="E18" s="69"/>
      <c r="F18" s="70"/>
      <c r="G18" s="70">
        <v>0.01</v>
      </c>
      <c r="H18" s="70">
        <v>0.1</v>
      </c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75" customHeight="1">
      <c r="A19" s="72"/>
      <c r="B19" s="72" t="s">
        <v>175</v>
      </c>
      <c r="C19" s="72" t="s">
        <v>161</v>
      </c>
      <c r="D19" s="73">
        <v>8.0</v>
      </c>
      <c r="E19" s="73">
        <v>5.0</v>
      </c>
      <c r="F19" s="74">
        <v>0.5</v>
      </c>
      <c r="G19" s="74">
        <v>0.01</v>
      </c>
      <c r="H19" s="74">
        <v>0.1</v>
      </c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7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3" t="s">
        <v>176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3" t="s">
        <v>177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2021-06-29T05:28:02Z</dcterms:created>
  <dc:creator>齊藤真也</dc:creator>
</cp:coreProperties>
</file>