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gle Pipe Counter Flow" sheetId="1" r:id="rId4"/>
    <sheet state="visible" name="Counter Flow with Correction Fa" sheetId="2" r:id="rId5"/>
    <sheet state="visible" name="Shell and Tube" sheetId="3" r:id="rId6"/>
    <sheet state="visible" name="Pump Head vs Cost" sheetId="4" r:id="rId7"/>
    <sheet state="visible" name="Economic Analysis" sheetId="5" r:id="rId8"/>
    <sheet state="visible" name="References" sheetId="6" r:id="rId9"/>
  </sheets>
  <definedNames/>
  <calcPr/>
</workbook>
</file>

<file path=xl/sharedStrings.xml><?xml version="1.0" encoding="utf-8"?>
<sst xmlns="http://schemas.openxmlformats.org/spreadsheetml/2006/main" count="212" uniqueCount="121">
  <si>
    <t>First Pass (Milk and Water)</t>
  </si>
  <si>
    <t>Properties</t>
  </si>
  <si>
    <t>Constraints</t>
  </si>
  <si>
    <t>Choose</t>
  </si>
  <si>
    <t>Water (inner)</t>
  </si>
  <si>
    <t>Milk (outer)</t>
  </si>
  <si>
    <t>mdot_milk (kg/s)</t>
  </si>
  <si>
    <t>mdot_water (kg/s)</t>
  </si>
  <si>
    <t>Di (m)</t>
  </si>
  <si>
    <t>Do (m)</t>
  </si>
  <si>
    <t>Given</t>
  </si>
  <si>
    <t>cp (J/kg/K)</t>
  </si>
  <si>
    <t>T in (C)</t>
  </si>
  <si>
    <t>Calculate</t>
  </si>
  <si>
    <t>rho (kg/m^3)</t>
  </si>
  <si>
    <t>T out (C)</t>
  </si>
  <si>
    <t>Find</t>
  </si>
  <si>
    <t>Mu (Pa*s)</t>
  </si>
  <si>
    <t>Pr</t>
  </si>
  <si>
    <t>L/s</t>
  </si>
  <si>
    <t>m^3/s</t>
  </si>
  <si>
    <t>K (W/mK)</t>
  </si>
  <si>
    <t>m</t>
  </si>
  <si>
    <t>2piRH = total L</t>
  </si>
  <si>
    <t>m/s</t>
  </si>
  <si>
    <t>Qdot_c (milk) (W)</t>
  </si>
  <si>
    <t>Th_out (water) °C</t>
  </si>
  <si>
    <t>dT1 (K)</t>
  </si>
  <si>
    <t>dT2 (K)</t>
  </si>
  <si>
    <t>dTlm (K)</t>
  </si>
  <si>
    <t>dh (m)</t>
  </si>
  <si>
    <t>Ac_o (m^2)</t>
  </si>
  <si>
    <t>Ac_i (m^2)</t>
  </si>
  <si>
    <t>Vi (m/s)</t>
  </si>
  <si>
    <t>Vo (m/s)</t>
  </si>
  <si>
    <t>Fi</t>
  </si>
  <si>
    <t>Re_i (water)</t>
  </si>
  <si>
    <t>Re_o (milk)</t>
  </si>
  <si>
    <t>f_i</t>
  </si>
  <si>
    <t>f_o</t>
  </si>
  <si>
    <t>Nu_i</t>
  </si>
  <si>
    <t>Nu_o</t>
  </si>
  <si>
    <t>h_o</t>
  </si>
  <si>
    <t>h_i</t>
  </si>
  <si>
    <t>U</t>
  </si>
  <si>
    <t>As</t>
  </si>
  <si>
    <t>L (m)</t>
  </si>
  <si>
    <t>Will not work for Re between 10000 and 2300</t>
  </si>
  <si>
    <t>63 gpm</t>
  </si>
  <si>
    <t>58 gpm</t>
  </si>
  <si>
    <t>F</t>
  </si>
  <si>
    <t>P</t>
  </si>
  <si>
    <t>R</t>
  </si>
  <si>
    <t>L (m) total</t>
  </si>
  <si>
    <t>Number of tube passes</t>
  </si>
  <si>
    <t>L per tube</t>
  </si>
  <si>
    <t>Shell and Tube (both sections)</t>
  </si>
  <si>
    <t>Temperature Setup</t>
  </si>
  <si>
    <t>Section 1</t>
  </si>
  <si>
    <t>https://www.alcpo.org.ly/wp-content/uploads/2017/06/11-Physical-properties-of-milk.pdf</t>
  </si>
  <si>
    <t>Section 2</t>
  </si>
  <si>
    <t>Bold: Given</t>
  </si>
  <si>
    <t>In</t>
  </si>
  <si>
    <t>Out</t>
  </si>
  <si>
    <t>Milk_c (@ 20 degC - use for all temps)</t>
  </si>
  <si>
    <t>Milk_h avg (45 degC)</t>
  </si>
  <si>
    <t>Milk_c avg (55 degC)</t>
  </si>
  <si>
    <t>Water_h (@ 65 degC)</t>
  </si>
  <si>
    <t>System 1</t>
  </si>
  <si>
    <t>Milk_c (degC)</t>
  </si>
  <si>
    <t>Milk_h (degC)</t>
  </si>
  <si>
    <t>System 2</t>
  </si>
  <si>
    <t>Water_h (degC)</t>
  </si>
  <si>
    <t xml:space="preserve">Assuming 70 GPM flow rate required from pump to meet milk production demands. Using TOP-FLO sanitary pump line (https://sanitaryfittings.us/product-category/sanitary-pumps/centrifugal-pumps) </t>
  </si>
  <si>
    <t>Fouling factor:</t>
  </si>
  <si>
    <t>https://powderprocess.net/Tools_html/Data_Diagrams/Heat_Exchanger_Fouling_Factor.html</t>
  </si>
  <si>
    <t>Available Head (ft)</t>
  </si>
  <si>
    <t>Cost</t>
  </si>
  <si>
    <t>12.5 m head for pump</t>
  </si>
  <si>
    <t>41 ft</t>
  </si>
  <si>
    <t>Large scale</t>
  </si>
  <si>
    <t>Scaled down using ratio of our pump to their pump costs</t>
  </si>
  <si>
    <t>HTST Pump</t>
  </si>
  <si>
    <t>Cleanings /day</t>
  </si>
  <si>
    <t>HTST Sanitary Valves</t>
  </si>
  <si>
    <t>Water /cleaning</t>
  </si>
  <si>
    <t>gallons</t>
  </si>
  <si>
    <t>Holding tube</t>
  </si>
  <si>
    <t>Electricity /cleaning</t>
  </si>
  <si>
    <t>kWh</t>
  </si>
  <si>
    <t>CIP system</t>
  </si>
  <si>
    <t>Commercial water rate</t>
  </si>
  <si>
    <t>$ per 100 gallons</t>
  </si>
  <si>
    <t>Electricity rate</t>
  </si>
  <si>
    <t>$ per kWh</t>
  </si>
  <si>
    <t>Maintenance costs</t>
  </si>
  <si>
    <t>CIP water</t>
  </si>
  <si>
    <t>CIP electricity</t>
  </si>
  <si>
    <t>Total</t>
  </si>
  <si>
    <t>Product</t>
  </si>
  <si>
    <t>Price per pound</t>
  </si>
  <si>
    <t>Price per gallon</t>
  </si>
  <si>
    <t>Total revenue per week</t>
  </si>
  <si>
    <t>HX</t>
  </si>
  <si>
    <t>Pump System</t>
  </si>
  <si>
    <t>milk</t>
  </si>
  <si>
    <t>Initial Cost</t>
  </si>
  <si>
    <t>butter</t>
  </si>
  <si>
    <t>Maintenance</t>
  </si>
  <si>
    <t>cheese</t>
  </si>
  <si>
    <t>Lifetime</t>
  </si>
  <si>
    <t>yogurt</t>
  </si>
  <si>
    <t>Interest Rate</t>
  </si>
  <si>
    <t>NPV:</t>
  </si>
  <si>
    <t>w/o salvage, over 10 years</t>
  </si>
  <si>
    <t>Operating profit margin</t>
  </si>
  <si>
    <t>NCF:</t>
  </si>
  <si>
    <t>Profit /week</t>
  </si>
  <si>
    <t>Payback period</t>
  </si>
  <si>
    <t>years</t>
  </si>
  <si>
    <t>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</si>
</sst>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Arial"/>
    </font>
    <font>
      <b/>
      <color theme="1"/>
      <name val="Arial"/>
      <scheme val="minor"/>
    </font>
    <font>
      <u/>
      <color rgb="FF0000FF"/>
    </font>
    <font/>
    <font>
      <sz val="11.0"/>
      <color rgb="FF222222"/>
      <name val="Verdana"/>
    </font>
  </fonts>
  <fills count="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5" numFmtId="0" xfId="0" applyBorder="1" applyFont="1"/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3" numFmtId="0" xfId="0" applyAlignment="1" applyFont="1">
      <alignment readingOrder="0"/>
    </xf>
    <xf borderId="0" fillId="7" fontId="6" numFmtId="0" xfId="0" applyAlignment="1" applyFill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10" xfId="0" applyAlignment="1" applyFont="1" applyNumberFormat="1">
      <alignment readingOrder="0"/>
    </xf>
    <xf borderId="0" fillId="3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'Pump Head vs Cost'!$A$5:$A$9</c:f>
            </c:numRef>
          </c:xVal>
          <c:yVal>
            <c:numRef>
              <c:f>'Pump Head vs Cost'!$B$5:$B$9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89005"/>
        <c:axId val="475817185"/>
      </c:scatterChart>
      <c:valAx>
        <c:axId val="10997890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Available Head (ft)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5817185"/>
      </c:valAx>
      <c:valAx>
        <c:axId val="475817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9789005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5.png"/><Relationship Id="rId3" Type="http://schemas.openxmlformats.org/officeDocument/2006/relationships/image" Target="../media/image1.png"/><Relationship Id="rId4" Type="http://schemas.openxmlformats.org/officeDocument/2006/relationships/image" Target="../media/image6.png"/><Relationship Id="rId5" Type="http://schemas.openxmlformats.org/officeDocument/2006/relationships/image" Target="../media/image2.png"/><Relationship Id="rId6" Type="http://schemas.openxmlformats.org/officeDocument/2006/relationships/image" Target="../media/image8.png"/><Relationship Id="rId7" Type="http://schemas.openxmlformats.org/officeDocument/2006/relationships/image" Target="../media/image3.png"/><Relationship Id="rId8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628650</xdr:colOff>
      <xdr:row>77</xdr:row>
      <xdr:rowOff>57150</xdr:rowOff>
    </xdr:from>
    <xdr:ext cx="3638550" cy="2895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628650</xdr:colOff>
      <xdr:row>77</xdr:row>
      <xdr:rowOff>57150</xdr:rowOff>
    </xdr:from>
    <xdr:ext cx="3638550" cy="2895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628650</xdr:colOff>
      <xdr:row>78</xdr:row>
      <xdr:rowOff>57150</xdr:rowOff>
    </xdr:from>
    <xdr:ext cx="3638550" cy="2895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638175</xdr:colOff>
      <xdr:row>3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0</xdr:row>
      <xdr:rowOff>19050</xdr:rowOff>
    </xdr:from>
    <xdr:ext cx="7800975" cy="4286250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0</xdr:rowOff>
    </xdr:from>
    <xdr:ext cx="6115050" cy="3048000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15</xdr:row>
      <xdr:rowOff>47625</xdr:rowOff>
    </xdr:from>
    <xdr:ext cx="3638550" cy="28956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466725</xdr:colOff>
      <xdr:row>24</xdr:row>
      <xdr:rowOff>133350</xdr:rowOff>
    </xdr:from>
    <xdr:ext cx="4248150" cy="933450"/>
    <xdr:pic>
      <xdr:nvPicPr>
        <xdr:cNvPr id="0" name="image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609600</xdr:colOff>
      <xdr:row>17</xdr:row>
      <xdr:rowOff>152400</xdr:rowOff>
    </xdr:from>
    <xdr:ext cx="4629150" cy="4486275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400050</xdr:colOff>
      <xdr:row>0</xdr:row>
      <xdr:rowOff>19050</xdr:rowOff>
    </xdr:from>
    <xdr:ext cx="4629150" cy="3476625"/>
    <xdr:pic>
      <xdr:nvPicPr>
        <xdr:cNvPr id="0" name="image8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466725</xdr:colOff>
      <xdr:row>21</xdr:row>
      <xdr:rowOff>104775</xdr:rowOff>
    </xdr:from>
    <xdr:ext cx="2800350" cy="504825"/>
    <xdr:pic>
      <xdr:nvPicPr>
        <xdr:cNvPr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</xdr:colOff>
      <xdr:row>21</xdr:row>
      <xdr:rowOff>104775</xdr:rowOff>
    </xdr:from>
    <xdr:ext cx="4924425" cy="1666875"/>
    <xdr:pic>
      <xdr:nvPicPr>
        <xdr:cNvPr id="0" name="image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lcpo.org.ly/wp-content/uploads/2017/06/11-Physical-properties-of-milk.pdf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powderprocess.net/Tools_html/Data_Diagrams/Heat_Exchanger_Fouling_Factor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0"/>
    <col customWidth="1" min="3" max="3" width="17.63"/>
    <col customWidth="1" min="4" max="4" width="17.25"/>
    <col customWidth="1" min="5" max="5" width="17.13"/>
    <col customWidth="1" min="7" max="7" width="12.75"/>
    <col customWidth="1" min="8" max="8" width="13.13"/>
    <col customWidth="1" min="9" max="9" width="14.0"/>
    <col customWidth="1" min="10" max="10" width="14.13"/>
  </cols>
  <sheetData>
    <row r="1">
      <c r="A1" s="1" t="s">
        <v>0</v>
      </c>
    </row>
    <row r="2">
      <c r="B2" s="2" t="s">
        <v>1</v>
      </c>
      <c r="F2" s="2" t="s">
        <v>2</v>
      </c>
      <c r="J2" s="3" t="s">
        <v>3</v>
      </c>
      <c r="N2" s="4" t="s">
        <v>3</v>
      </c>
    </row>
    <row r="3">
      <c r="B3" s="5" t="s">
        <v>4</v>
      </c>
      <c r="C3" s="5" t="s">
        <v>5</v>
      </c>
      <c r="F3" s="5" t="s">
        <v>4</v>
      </c>
      <c r="G3" s="5" t="s">
        <v>5</v>
      </c>
      <c r="I3" s="6" t="s">
        <v>6</v>
      </c>
      <c r="J3" s="4" t="s">
        <v>7</v>
      </c>
      <c r="K3" s="4" t="s">
        <v>8</v>
      </c>
      <c r="L3" s="4" t="s">
        <v>9</v>
      </c>
      <c r="N3" s="7" t="s">
        <v>10</v>
      </c>
    </row>
    <row r="4">
      <c r="A4" s="7" t="s">
        <v>11</v>
      </c>
      <c r="B4" s="5">
        <v>4205.0</v>
      </c>
      <c r="C4" s="5">
        <v>3890.0</v>
      </c>
      <c r="E4" s="7" t="s">
        <v>12</v>
      </c>
      <c r="F4" s="5">
        <v>93.3333</v>
      </c>
      <c r="G4" s="5">
        <v>4.44</v>
      </c>
      <c r="I4" s="5">
        <f>J6*C5</f>
        <v>4.490744792</v>
      </c>
      <c r="J4" s="5">
        <v>4.3</v>
      </c>
      <c r="K4" s="5">
        <v>0.6</v>
      </c>
      <c r="L4" s="5">
        <v>1.0</v>
      </c>
      <c r="N4" s="8" t="s">
        <v>13</v>
      </c>
    </row>
    <row r="5">
      <c r="A5" s="7" t="s">
        <v>14</v>
      </c>
      <c r="B5" s="5">
        <v>958.0</v>
      </c>
      <c r="C5" s="5">
        <v>1020.0</v>
      </c>
      <c r="E5" s="7" t="s">
        <v>15</v>
      </c>
      <c r="G5" s="5">
        <v>72.7778</v>
      </c>
      <c r="N5" s="6" t="s">
        <v>16</v>
      </c>
    </row>
    <row r="6">
      <c r="A6" s="7" t="s">
        <v>17</v>
      </c>
      <c r="B6" s="5">
        <v>2.8E-4</v>
      </c>
      <c r="C6" s="5">
        <v>0.0015</v>
      </c>
      <c r="I6" s="9">
        <f>3.785*(335000/5)/16/3600</f>
        <v>4.402690972</v>
      </c>
      <c r="J6" s="9">
        <f>I6/1000</f>
        <v>0.004402690972</v>
      </c>
    </row>
    <row r="7">
      <c r="A7" s="7" t="s">
        <v>18</v>
      </c>
      <c r="B7" s="5">
        <v>1.76</v>
      </c>
      <c r="C7" s="9">
        <f>$C$6*$C$4/$C$8</f>
        <v>10.06034483</v>
      </c>
      <c r="I7" s="5" t="s">
        <v>19</v>
      </c>
      <c r="J7" s="5" t="s">
        <v>20</v>
      </c>
    </row>
    <row r="8">
      <c r="A8" s="7" t="s">
        <v>21</v>
      </c>
      <c r="B8" s="5">
        <v>0.62</v>
      </c>
      <c r="C8" s="5">
        <v>0.58</v>
      </c>
      <c r="L8" s="5">
        <v>0.00635</v>
      </c>
      <c r="M8" s="5" t="s">
        <v>22</v>
      </c>
      <c r="N8" s="5" t="s">
        <v>23</v>
      </c>
    </row>
    <row r="9">
      <c r="A9" s="5"/>
      <c r="L9" s="9">
        <f>4*I4/(C5*pi()*L8^2)</f>
        <v>139.0211482</v>
      </c>
      <c r="M9" s="5" t="s">
        <v>24</v>
      </c>
    </row>
    <row r="10">
      <c r="M10" s="9">
        <f>20*L9</f>
        <v>2780.422964</v>
      </c>
      <c r="N10" s="9">
        <f>M10/(3.5*2*pi())</f>
        <v>126.433731</v>
      </c>
    </row>
    <row r="11">
      <c r="A11" s="8" t="s">
        <v>25</v>
      </c>
      <c r="B11" s="8" t="s">
        <v>26</v>
      </c>
      <c r="C11" s="8" t="s">
        <v>27</v>
      </c>
      <c r="D11" s="8" t="s">
        <v>28</v>
      </c>
      <c r="E11" s="8" t="s">
        <v>29</v>
      </c>
      <c r="F11" s="8" t="s">
        <v>30</v>
      </c>
      <c r="G11" s="8" t="s">
        <v>31</v>
      </c>
      <c r="H11" s="8" t="s">
        <v>32</v>
      </c>
      <c r="I11" s="8" t="s">
        <v>33</v>
      </c>
      <c r="J11" s="8" t="s">
        <v>34</v>
      </c>
      <c r="K11" s="8" t="s">
        <v>35</v>
      </c>
    </row>
    <row r="12">
      <c r="A12" s="9">
        <f>I4*C4*(G5-G4)</f>
        <v>1193792.84</v>
      </c>
      <c r="B12" s="9">
        <f>F4-(A12/J4/B4)</f>
        <v>27.31041254</v>
      </c>
      <c r="C12" s="9">
        <f>F4-G5</f>
        <v>20.5555</v>
      </c>
      <c r="D12" s="9">
        <f>B12-G4</f>
        <v>22.87041254</v>
      </c>
      <c r="E12" s="9">
        <f>(C12-D12)/ln(C12/D12)</f>
        <v>21.69237376</v>
      </c>
      <c r="F12" s="9">
        <f>L4-K4</f>
        <v>0.4</v>
      </c>
      <c r="G12" s="9">
        <f>(L4^2-F12^2)/4*PI()</f>
        <v>0.6597344573</v>
      </c>
      <c r="H12" s="9">
        <f>K4^2*PI()/4</f>
        <v>0.2827433388</v>
      </c>
      <c r="I12" s="9">
        <f>J4/H12/B5</f>
        <v>0.01587488414</v>
      </c>
      <c r="J12" s="9">
        <f>I4/G12/C5</f>
        <v>0.006673428868</v>
      </c>
      <c r="K12" s="9">
        <f> 0.86*(K4/L4)^-0.16</f>
        <v>0.9332419473</v>
      </c>
    </row>
    <row r="15">
      <c r="L15" s="10"/>
      <c r="M15" s="10"/>
    </row>
    <row r="16">
      <c r="M16" s="10"/>
    </row>
    <row r="18">
      <c r="L18" s="10"/>
    </row>
    <row r="19">
      <c r="A19" s="8" t="s">
        <v>36</v>
      </c>
      <c r="B19" s="8" t="s">
        <v>37</v>
      </c>
      <c r="C19" s="8" t="s">
        <v>38</v>
      </c>
      <c r="D19" s="8" t="s">
        <v>39</v>
      </c>
      <c r="E19" s="8" t="s">
        <v>40</v>
      </c>
      <c r="F19" s="8" t="s">
        <v>41</v>
      </c>
      <c r="G19" s="8" t="s">
        <v>42</v>
      </c>
      <c r="H19" s="8" t="s">
        <v>43</v>
      </c>
      <c r="I19" s="8" t="s">
        <v>44</v>
      </c>
      <c r="J19" s="8" t="s">
        <v>45</v>
      </c>
      <c r="K19" s="6" t="s">
        <v>46</v>
      </c>
    </row>
    <row r="20">
      <c r="A20" s="9">
        <f>B5*I12*F12/B6</f>
        <v>21725.91287</v>
      </c>
      <c r="B20" s="9">
        <f>C5*J12*F12/C6</f>
        <v>1815.172652</v>
      </c>
      <c r="C20" s="9">
        <f t="shared" ref="C20:D20" si="1">(0.79*ln(A20)-1.64)^-2</f>
        <v>0.02560699605</v>
      </c>
      <c r="D20" s="9">
        <f t="shared" si="1"/>
        <v>0.05438364342</v>
      </c>
      <c r="E20" s="9">
        <f>if(A20&gt;=10000,E21,E22)*K12</f>
        <v>114.2230098</v>
      </c>
      <c r="F20" s="9">
        <f>if(B20&gt;=10000,F21,F22)*K12</f>
        <v>4.06893489</v>
      </c>
      <c r="G20" s="9">
        <f>F20*F12/C8</f>
        <v>2.806161993</v>
      </c>
      <c r="H20" s="9">
        <f>E20*F12/B8</f>
        <v>73.69226442</v>
      </c>
      <c r="I20" s="9">
        <f>(1/G20+1/H20)^-1</f>
        <v>2.703224645</v>
      </c>
      <c r="J20" s="9">
        <f>A12/I20/E12</f>
        <v>20358.21763</v>
      </c>
      <c r="K20" s="9">
        <f>J20/(PI()*K4)</f>
        <v>10800.3699</v>
      </c>
    </row>
    <row r="21">
      <c r="E21" s="9">
        <f t="shared" ref="E21:F21" si="2">0.125*C20*A20*B7</f>
        <v>122.3937803</v>
      </c>
      <c r="F21" s="9">
        <f t="shared" si="2"/>
        <v>124.1392506</v>
      </c>
    </row>
    <row r="22">
      <c r="E22" s="5">
        <v>4.36</v>
      </c>
      <c r="F22" s="5">
        <v>4.36</v>
      </c>
    </row>
    <row r="23">
      <c r="E23" s="11" t="s">
        <v>47</v>
      </c>
    </row>
    <row r="24">
      <c r="A24" s="5"/>
      <c r="B24" s="5"/>
      <c r="C24" s="5"/>
      <c r="D24" s="5"/>
      <c r="E24" s="5"/>
      <c r="L24" s="5"/>
      <c r="M24" s="5"/>
    </row>
    <row r="27">
      <c r="B27" s="9">
        <f>3.86/B5</f>
        <v>0.004029227557</v>
      </c>
      <c r="C27" s="5">
        <f>0.00366*B5</f>
        <v>3.50628</v>
      </c>
    </row>
    <row r="28">
      <c r="B28" s="5" t="s">
        <v>48</v>
      </c>
      <c r="C28" s="5" t="s">
        <v>49</v>
      </c>
    </row>
    <row r="31">
      <c r="A31" s="5"/>
    </row>
  </sheetData>
  <mergeCells count="4">
    <mergeCell ref="B2:C2"/>
    <mergeCell ref="F2:G2"/>
    <mergeCell ref="J2:L2"/>
    <mergeCell ref="E23:F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0"/>
    <col customWidth="1" min="3" max="3" width="17.63"/>
    <col customWidth="1" min="4" max="4" width="17.25"/>
    <col customWidth="1" min="5" max="5" width="17.13"/>
    <col customWidth="1" min="7" max="7" width="12.75"/>
    <col customWidth="1" min="8" max="8" width="13.13"/>
    <col customWidth="1" min="9" max="9" width="14.0"/>
    <col customWidth="1" min="10" max="10" width="14.13"/>
  </cols>
  <sheetData>
    <row r="1">
      <c r="A1" s="1" t="s">
        <v>0</v>
      </c>
    </row>
    <row r="2">
      <c r="B2" s="2" t="s">
        <v>1</v>
      </c>
      <c r="F2" s="2" t="s">
        <v>2</v>
      </c>
      <c r="J2" s="3" t="s">
        <v>3</v>
      </c>
      <c r="N2" s="4" t="s">
        <v>3</v>
      </c>
    </row>
    <row r="3">
      <c r="B3" s="5" t="s">
        <v>4</v>
      </c>
      <c r="C3" s="5" t="s">
        <v>5</v>
      </c>
      <c r="F3" s="5" t="s">
        <v>4</v>
      </c>
      <c r="G3" s="5" t="s">
        <v>5</v>
      </c>
      <c r="I3" s="6" t="s">
        <v>6</v>
      </c>
      <c r="J3" s="4" t="s">
        <v>7</v>
      </c>
      <c r="K3" s="4" t="s">
        <v>8</v>
      </c>
      <c r="L3" s="4" t="s">
        <v>9</v>
      </c>
      <c r="N3" s="7" t="s">
        <v>10</v>
      </c>
    </row>
    <row r="4">
      <c r="A4" s="7" t="s">
        <v>11</v>
      </c>
      <c r="B4" s="5">
        <v>4205.0</v>
      </c>
      <c r="C4" s="5">
        <v>3890.0</v>
      </c>
      <c r="E4" s="7" t="s">
        <v>12</v>
      </c>
      <c r="F4" s="5">
        <v>93.3333</v>
      </c>
      <c r="G4" s="5">
        <v>4.44</v>
      </c>
      <c r="I4" s="5">
        <f>J6*C5</f>
        <v>4.490744792</v>
      </c>
      <c r="J4" s="5">
        <v>4.3</v>
      </c>
      <c r="K4" s="5">
        <v>0.2</v>
      </c>
      <c r="L4" s="5">
        <v>1.0</v>
      </c>
      <c r="N4" s="8" t="s">
        <v>13</v>
      </c>
    </row>
    <row r="5">
      <c r="A5" s="7" t="s">
        <v>14</v>
      </c>
      <c r="B5" s="5">
        <v>958.0</v>
      </c>
      <c r="C5" s="5">
        <v>1020.0</v>
      </c>
      <c r="E5" s="7" t="s">
        <v>15</v>
      </c>
      <c r="G5" s="5">
        <v>72.7778</v>
      </c>
      <c r="N5" s="6" t="s">
        <v>16</v>
      </c>
    </row>
    <row r="6">
      <c r="A6" s="7" t="s">
        <v>17</v>
      </c>
      <c r="B6" s="5">
        <v>2.8E-4</v>
      </c>
      <c r="C6" s="5">
        <v>0.0015</v>
      </c>
      <c r="I6" s="9">
        <f>3.785*(335000/5)/16/3600</f>
        <v>4.402690972</v>
      </c>
      <c r="J6" s="9">
        <f>I6/1000</f>
        <v>0.004402690972</v>
      </c>
    </row>
    <row r="7">
      <c r="A7" s="7" t="s">
        <v>18</v>
      </c>
      <c r="B7" s="5">
        <v>1.76</v>
      </c>
      <c r="C7" s="9">
        <f>$C$6*$C$4/$C$8</f>
        <v>10.06034483</v>
      </c>
      <c r="I7" s="5" t="s">
        <v>19</v>
      </c>
      <c r="J7" s="5" t="s">
        <v>20</v>
      </c>
    </row>
    <row r="8">
      <c r="A8" s="7" t="s">
        <v>21</v>
      </c>
      <c r="B8" s="5">
        <v>0.62</v>
      </c>
      <c r="C8" s="5">
        <v>0.58</v>
      </c>
    </row>
    <row r="9">
      <c r="A9" s="5"/>
    </row>
    <row r="11">
      <c r="A11" s="8" t="s">
        <v>25</v>
      </c>
      <c r="B11" s="8" t="s">
        <v>26</v>
      </c>
      <c r="C11" s="8" t="s">
        <v>27</v>
      </c>
      <c r="D11" s="8" t="s">
        <v>28</v>
      </c>
      <c r="E11" s="8" t="s">
        <v>50</v>
      </c>
      <c r="F11" s="8" t="s">
        <v>29</v>
      </c>
      <c r="G11" s="8" t="s">
        <v>30</v>
      </c>
      <c r="H11" s="8" t="s">
        <v>31</v>
      </c>
      <c r="I11" s="8" t="s">
        <v>32</v>
      </c>
      <c r="J11" s="8" t="s">
        <v>33</v>
      </c>
      <c r="K11" s="8" t="s">
        <v>34</v>
      </c>
      <c r="L11" s="8" t="s">
        <v>35</v>
      </c>
    </row>
    <row r="12">
      <c r="A12" s="9">
        <f>I4*C4*(G5-G4)</f>
        <v>1193792.84</v>
      </c>
      <c r="B12" s="9">
        <f>F4-(A12/J4/B4)</f>
        <v>27.31041254</v>
      </c>
      <c r="C12" s="9">
        <f>F4-G5</f>
        <v>20.5555</v>
      </c>
      <c r="D12" s="9">
        <f>B12-G4</f>
        <v>22.87041254</v>
      </c>
      <c r="E12" s="5">
        <v>0.6</v>
      </c>
      <c r="F12" s="9">
        <f>E12*(C12-D12)/ln(C12/D12)</f>
        <v>13.01542425</v>
      </c>
      <c r="G12" s="9">
        <f>L4-K4</f>
        <v>0.8</v>
      </c>
      <c r="H12" s="9">
        <f>(L4^2-G12^2)/4*PI()</f>
        <v>0.2827433388</v>
      </c>
      <c r="I12" s="9">
        <f>K4^2*PI()/4</f>
        <v>0.03141592654</v>
      </c>
      <c r="J12" s="9">
        <f>J4/I12/B5</f>
        <v>0.1428739573</v>
      </c>
      <c r="K12" s="9">
        <f>I4/H12/C5</f>
        <v>0.01557133403</v>
      </c>
      <c r="L12" s="9">
        <f> 0.86*(K4/L4)^-0.16</f>
        <v>1.112586157</v>
      </c>
    </row>
    <row r="14">
      <c r="D14" s="5" t="s">
        <v>51</v>
      </c>
      <c r="E14" s="5" t="s">
        <v>52</v>
      </c>
    </row>
    <row r="15">
      <c r="D15" s="9">
        <f>(B12-F4)/(G4-F4)</f>
        <v>0.7427206264</v>
      </c>
      <c r="E15" s="9">
        <f>(G4-G5)/(B12-F4)</f>
        <v>1.035062274</v>
      </c>
      <c r="L15" s="10"/>
      <c r="M15" s="10"/>
    </row>
    <row r="16">
      <c r="M16" s="10"/>
    </row>
    <row r="18">
      <c r="L18" s="10"/>
    </row>
    <row r="19">
      <c r="A19" s="8" t="s">
        <v>36</v>
      </c>
      <c r="B19" s="8" t="s">
        <v>37</v>
      </c>
      <c r="C19" s="8" t="s">
        <v>38</v>
      </c>
      <c r="D19" s="8" t="s">
        <v>39</v>
      </c>
      <c r="E19" s="8" t="s">
        <v>40</v>
      </c>
      <c r="F19" s="8" t="s">
        <v>41</v>
      </c>
      <c r="G19" s="8" t="s">
        <v>42</v>
      </c>
      <c r="H19" s="8" t="s">
        <v>43</v>
      </c>
      <c r="I19" s="8" t="s">
        <v>44</v>
      </c>
      <c r="J19" s="8" t="s">
        <v>45</v>
      </c>
      <c r="K19" s="6" t="s">
        <v>53</v>
      </c>
      <c r="L19" s="5" t="s">
        <v>54</v>
      </c>
      <c r="M19" s="5" t="s">
        <v>55</v>
      </c>
    </row>
    <row r="20">
      <c r="A20" s="9">
        <f>B5*J12*G12/B6</f>
        <v>391066.4316</v>
      </c>
      <c r="B20" s="9">
        <f>C5*K12*G12/C6</f>
        <v>8470.80571</v>
      </c>
      <c r="C20" s="9">
        <f t="shared" ref="C20:D20" si="1">(0.79*ln(A20)-1.64)^-2</f>
        <v>0.01373546445</v>
      </c>
      <c r="D20" s="9">
        <f t="shared" si="1"/>
        <v>0.03299709763</v>
      </c>
      <c r="E20" s="9">
        <f>if(A20&gt;=10000,E21,E22)*L12</f>
        <v>1314.771315</v>
      </c>
      <c r="F20" s="9">
        <f>if(B20&gt;=10000,F21,F22)*L12</f>
        <v>4.850875643</v>
      </c>
      <c r="G20" s="9">
        <f>F20*G12/C8</f>
        <v>6.690862956</v>
      </c>
      <c r="H20" s="9">
        <f>E20*G12/B8</f>
        <v>1696.479116</v>
      </c>
      <c r="I20" s="9">
        <f>(1/G20+1/H20)^-1</f>
        <v>6.664578059</v>
      </c>
      <c r="J20" s="9">
        <f>A12/I20/F12</f>
        <v>13762.52059</v>
      </c>
      <c r="K20" s="9">
        <f>J20/(PI()*K4)</f>
        <v>21903.73181</v>
      </c>
      <c r="L20" s="5">
        <v>10.0</v>
      </c>
      <c r="M20" s="9">
        <f>K20/L20</f>
        <v>2190.373181</v>
      </c>
    </row>
    <row r="21">
      <c r="E21" s="9">
        <f t="shared" ref="E21:F21" si="2">0.125*C20*A20*B7</f>
        <v>1181.725395</v>
      </c>
      <c r="F21" s="9">
        <f t="shared" si="2"/>
        <v>351.4983917</v>
      </c>
    </row>
    <row r="22">
      <c r="E22" s="5">
        <v>4.36</v>
      </c>
      <c r="F22" s="5">
        <v>4.36</v>
      </c>
    </row>
    <row r="23">
      <c r="E23" s="11" t="s">
        <v>47</v>
      </c>
    </row>
    <row r="24">
      <c r="A24" s="5"/>
      <c r="B24" s="5"/>
      <c r="C24" s="5"/>
      <c r="D24" s="5"/>
      <c r="E24" s="5"/>
      <c r="L24" s="5"/>
      <c r="M24" s="5"/>
    </row>
    <row r="31">
      <c r="A31" s="5"/>
    </row>
  </sheetData>
  <mergeCells count="4">
    <mergeCell ref="B2:C2"/>
    <mergeCell ref="F2:G2"/>
    <mergeCell ref="J2:L2"/>
    <mergeCell ref="E23:F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21.0"/>
    <col customWidth="1" min="3" max="3" width="17.63"/>
    <col customWidth="1" min="4" max="4" width="19.0"/>
    <col customWidth="1" min="5" max="5" width="19.38"/>
    <col customWidth="1" min="7" max="7" width="12.75"/>
    <col customWidth="1" min="8" max="8" width="13.13"/>
    <col customWidth="1" min="9" max="9" width="14.0"/>
    <col customWidth="1" min="10" max="10" width="14.13"/>
  </cols>
  <sheetData>
    <row r="1">
      <c r="A1" s="1" t="s">
        <v>56</v>
      </c>
    </row>
    <row r="3">
      <c r="B3" s="2" t="s">
        <v>1</v>
      </c>
      <c r="G3" s="2" t="s">
        <v>57</v>
      </c>
      <c r="M3" s="3" t="s">
        <v>3</v>
      </c>
      <c r="Q3" s="4" t="s">
        <v>3</v>
      </c>
    </row>
    <row r="4">
      <c r="B4" s="5" t="s">
        <v>58</v>
      </c>
      <c r="C4" s="12" t="s">
        <v>59</v>
      </c>
      <c r="D4" s="5" t="s">
        <v>60</v>
      </c>
      <c r="G4" s="13" t="s">
        <v>61</v>
      </c>
      <c r="H4" s="14"/>
      <c r="I4" s="15" t="s">
        <v>62</v>
      </c>
      <c r="J4" s="15" t="s">
        <v>63</v>
      </c>
      <c r="L4" s="6" t="s">
        <v>6</v>
      </c>
      <c r="M4" s="4" t="s">
        <v>7</v>
      </c>
      <c r="N4" s="4" t="s">
        <v>8</v>
      </c>
      <c r="O4" s="4" t="s">
        <v>9</v>
      </c>
      <c r="Q4" s="7" t="s">
        <v>10</v>
      </c>
    </row>
    <row r="5">
      <c r="B5" s="16" t="s">
        <v>64</v>
      </c>
      <c r="C5" s="5" t="s">
        <v>65</v>
      </c>
      <c r="D5" s="5" t="s">
        <v>66</v>
      </c>
      <c r="E5" s="5" t="s">
        <v>67</v>
      </c>
      <c r="G5" s="17" t="s">
        <v>68</v>
      </c>
      <c r="H5" s="18" t="s">
        <v>69</v>
      </c>
      <c r="I5" s="19">
        <v>4.44</v>
      </c>
      <c r="J5" s="5">
        <v>35.6</v>
      </c>
      <c r="L5" s="5">
        <f>M7*B7</f>
        <v>4.534771701</v>
      </c>
      <c r="M5" s="5">
        <v>4.3</v>
      </c>
      <c r="N5" s="5">
        <v>0.6</v>
      </c>
      <c r="O5" s="5">
        <v>1.0</v>
      </c>
      <c r="Q5" s="8" t="s">
        <v>13</v>
      </c>
    </row>
    <row r="6">
      <c r="A6" s="7" t="s">
        <v>11</v>
      </c>
      <c r="B6" s="5">
        <v>3931.0</v>
      </c>
      <c r="C6" s="5">
        <v>3931.0</v>
      </c>
      <c r="D6" s="5">
        <v>3931.0</v>
      </c>
      <c r="E6" s="5">
        <v>4187.0</v>
      </c>
      <c r="H6" s="18" t="s">
        <v>70</v>
      </c>
      <c r="I6" s="5">
        <v>72.778</v>
      </c>
      <c r="J6" s="5">
        <v>10.0</v>
      </c>
      <c r="Q6" s="6" t="s">
        <v>16</v>
      </c>
    </row>
    <row r="7">
      <c r="A7" s="7" t="s">
        <v>14</v>
      </c>
      <c r="B7" s="5">
        <v>1030.0</v>
      </c>
      <c r="C7" s="5">
        <v>1030.0</v>
      </c>
      <c r="D7" s="5">
        <v>1030.0</v>
      </c>
      <c r="E7" s="5">
        <v>980.45</v>
      </c>
      <c r="G7" s="17" t="s">
        <v>71</v>
      </c>
      <c r="H7" s="18" t="s">
        <v>69</v>
      </c>
      <c r="I7" s="5">
        <v>35.6</v>
      </c>
      <c r="J7" s="19">
        <v>72.7778</v>
      </c>
      <c r="L7" s="9">
        <f>3.785*(335000/5)/16/3600</f>
        <v>4.402690972</v>
      </c>
      <c r="M7" s="9">
        <f>L7/1000</f>
        <v>0.004402690972</v>
      </c>
    </row>
    <row r="8">
      <c r="A8" s="7" t="s">
        <v>17</v>
      </c>
      <c r="B8" s="5">
        <v>0.00213</v>
      </c>
      <c r="C8" s="5">
        <v>0.00213</v>
      </c>
      <c r="D8" s="5">
        <v>0.00213</v>
      </c>
      <c r="E8" s="5">
        <v>4.34E-4</v>
      </c>
      <c r="F8" s="20"/>
      <c r="H8" s="18" t="s">
        <v>72</v>
      </c>
      <c r="I8" s="19">
        <v>93.3333</v>
      </c>
      <c r="J8" s="5">
        <v>40.0</v>
      </c>
      <c r="L8" s="5" t="s">
        <v>19</v>
      </c>
      <c r="M8" s="5" t="s">
        <v>20</v>
      </c>
    </row>
    <row r="9">
      <c r="A9" s="7" t="s">
        <v>18</v>
      </c>
      <c r="B9" s="5">
        <f t="shared" ref="B9:D9" si="1">$B$8*$B$6/$B$10</f>
        <v>14.97858676</v>
      </c>
      <c r="C9" s="5">
        <f t="shared" si="1"/>
        <v>14.97858676</v>
      </c>
      <c r="D9" s="5">
        <f t="shared" si="1"/>
        <v>14.97858676</v>
      </c>
      <c r="E9" s="5">
        <v>2.75</v>
      </c>
    </row>
    <row r="10">
      <c r="A10" s="7" t="s">
        <v>21</v>
      </c>
      <c r="B10" s="5">
        <v>0.559</v>
      </c>
      <c r="C10" s="5">
        <v>0.559</v>
      </c>
      <c r="D10" s="5">
        <v>0.559</v>
      </c>
      <c r="E10" s="5">
        <v>0.63</v>
      </c>
    </row>
    <row r="12">
      <c r="A12" s="8" t="s">
        <v>25</v>
      </c>
      <c r="B12" s="8" t="s">
        <v>26</v>
      </c>
      <c r="C12" s="8" t="s">
        <v>27</v>
      </c>
      <c r="D12" s="8" t="s">
        <v>28</v>
      </c>
      <c r="E12" s="8" t="s">
        <v>29</v>
      </c>
      <c r="F12" s="8" t="s">
        <v>30</v>
      </c>
      <c r="G12" s="8" t="s">
        <v>31</v>
      </c>
      <c r="H12" s="8" t="s">
        <v>32</v>
      </c>
      <c r="I12" s="8" t="s">
        <v>33</v>
      </c>
      <c r="J12" s="8" t="s">
        <v>34</v>
      </c>
      <c r="K12" s="8" t="s">
        <v>35</v>
      </c>
    </row>
    <row r="13">
      <c r="A13" s="9">
        <f>L5*C6*(J7-I5)</f>
        <v>1218202.44</v>
      </c>
      <c r="B13" s="9">
        <f>I8-(A13/M5/E6)</f>
        <v>25.67079867</v>
      </c>
      <c r="C13" s="9">
        <f>I8-J7</f>
        <v>20.5555</v>
      </c>
      <c r="D13" s="9">
        <f>B13-I5</f>
        <v>21.23079867</v>
      </c>
      <c r="E13" s="9">
        <f>(C13-D13)/ln(C13/D13)</f>
        <v>20.89133032</v>
      </c>
      <c r="F13" s="9">
        <f>O5-N5</f>
        <v>0.4</v>
      </c>
      <c r="G13" s="9">
        <f>(O5^2-F13^2)/4*PI()</f>
        <v>0.6597344573</v>
      </c>
      <c r="H13" s="9">
        <f>N5^2*PI()/4</f>
        <v>0.2827433388</v>
      </c>
      <c r="I13" s="9">
        <f>M5/H13/E7</f>
        <v>0.01551138661</v>
      </c>
      <c r="J13" s="9">
        <f>L5/G13/C7</f>
        <v>0.006673428868</v>
      </c>
      <c r="K13" s="9">
        <f> 0.86*(N5/O5)^-0.16</f>
        <v>0.9332419473</v>
      </c>
    </row>
    <row r="16">
      <c r="L16" s="10"/>
      <c r="M16" s="10"/>
    </row>
    <row r="17">
      <c r="M17" s="10"/>
    </row>
    <row r="19">
      <c r="L19" s="10"/>
    </row>
    <row r="20">
      <c r="A20" s="8" t="s">
        <v>36</v>
      </c>
      <c r="B20" s="8" t="s">
        <v>37</v>
      </c>
      <c r="C20" s="8" t="s">
        <v>38</v>
      </c>
      <c r="D20" s="8" t="s">
        <v>39</v>
      </c>
      <c r="E20" s="8" t="s">
        <v>40</v>
      </c>
      <c r="F20" s="8" t="s">
        <v>41</v>
      </c>
      <c r="G20" s="8" t="s">
        <v>42</v>
      </c>
      <c r="H20" s="8" t="s">
        <v>43</v>
      </c>
      <c r="I20" s="8" t="s">
        <v>44</v>
      </c>
      <c r="J20" s="8" t="s">
        <v>45</v>
      </c>
      <c r="K20" s="6" t="s">
        <v>46</v>
      </c>
    </row>
    <row r="21">
      <c r="A21" s="9">
        <f>E7*I13*F13/E8</f>
        <v>14016.71798</v>
      </c>
      <c r="B21" s="9">
        <f>C7*J13*F13/C8</f>
        <v>1290.822861</v>
      </c>
      <c r="C21" s="9">
        <f t="shared" ref="C21:D21" si="2">(0.79*ln(A21)-1.64)^-2</f>
        <v>0.02869891667</v>
      </c>
      <c r="D21" s="9">
        <f t="shared" si="2"/>
        <v>0.06191668433</v>
      </c>
      <c r="E21" s="9">
        <f>if(A21&gt;=10000,E22,E23)*K13</f>
        <v>129.0472626</v>
      </c>
      <c r="F21" s="9">
        <f>if(B21&gt;=10000,F22,F23)*K13</f>
        <v>4.06893489</v>
      </c>
      <c r="G21" s="9">
        <f>F21*F13/C10</f>
        <v>2.911581317</v>
      </c>
      <c r="H21" s="9">
        <f>E21*F13/E10</f>
        <v>81.93476991</v>
      </c>
      <c r="I21" s="9">
        <f>(1/G21+1/H21)^-1</f>
        <v>2.811667701</v>
      </c>
      <c r="J21" s="9">
        <f>A13/I21/E13</f>
        <v>20739.07477</v>
      </c>
      <c r="K21" s="9">
        <f>J21/(PI()*N5)</f>
        <v>11002.42088</v>
      </c>
    </row>
    <row r="22">
      <c r="E22" s="9">
        <f>0.125*C21*A21*E9</f>
        <v>138.2784636</v>
      </c>
      <c r="F22" s="9">
        <f>0.125*D21*B21*C9</f>
        <v>149.6425817</v>
      </c>
    </row>
    <row r="23">
      <c r="E23" s="5">
        <v>4.36</v>
      </c>
      <c r="F23" s="5">
        <v>4.36</v>
      </c>
    </row>
    <row r="24">
      <c r="E24" s="11" t="s">
        <v>47</v>
      </c>
    </row>
    <row r="25">
      <c r="A25" s="5"/>
      <c r="B25" s="5"/>
      <c r="C25" s="5"/>
      <c r="D25" s="5"/>
      <c r="E25" s="5"/>
      <c r="L25" s="5"/>
      <c r="M25" s="5"/>
    </row>
    <row r="32">
      <c r="A32" s="5"/>
    </row>
  </sheetData>
  <mergeCells count="8">
    <mergeCell ref="B3:E3"/>
    <mergeCell ref="G3:J3"/>
    <mergeCell ref="M3:O3"/>
    <mergeCell ref="D4:E4"/>
    <mergeCell ref="G4:H4"/>
    <mergeCell ref="G5:G6"/>
    <mergeCell ref="G7:G8"/>
    <mergeCell ref="E24:F24"/>
  </mergeCells>
  <hyperlinks>
    <hyperlink r:id="rId1" ref="C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</cols>
  <sheetData>
    <row r="1">
      <c r="A1" s="16" t="s">
        <v>73</v>
      </c>
      <c r="J1" s="5" t="s">
        <v>74</v>
      </c>
      <c r="K1" s="5">
        <v>3.5E-4</v>
      </c>
    </row>
    <row r="2">
      <c r="J2" s="12" t="s">
        <v>75</v>
      </c>
    </row>
    <row r="4">
      <c r="A4" s="5" t="s">
        <v>76</v>
      </c>
      <c r="B4" s="5" t="s">
        <v>77</v>
      </c>
    </row>
    <row r="5">
      <c r="A5" s="5">
        <v>28.0</v>
      </c>
      <c r="B5" s="5">
        <v>958.0</v>
      </c>
    </row>
    <row r="6">
      <c r="A6" s="5">
        <v>64.0</v>
      </c>
      <c r="B6" s="5">
        <v>1584.0</v>
      </c>
      <c r="K6" s="5" t="s">
        <v>78</v>
      </c>
    </row>
    <row r="7">
      <c r="A7" s="5">
        <v>165.0</v>
      </c>
      <c r="B7" s="5">
        <v>2063.0</v>
      </c>
      <c r="K7" s="5" t="s">
        <v>79</v>
      </c>
    </row>
    <row r="8">
      <c r="A8" s="5">
        <v>300.0</v>
      </c>
      <c r="B8" s="5">
        <v>3176.0</v>
      </c>
    </row>
    <row r="9">
      <c r="A9" s="5">
        <v>325.0</v>
      </c>
      <c r="B9" s="5">
        <v>3696.0</v>
      </c>
    </row>
  </sheetData>
  <mergeCells count="1">
    <mergeCell ref="A1:G2"/>
  </mergeCells>
  <hyperlinks>
    <hyperlink r:id="rId1" ref="J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75"/>
    <col customWidth="1" min="7" max="8" width="13.5"/>
    <col customWidth="1" min="9" max="9" width="18.25"/>
    <col customWidth="1" min="13" max="13" width="18.25"/>
  </cols>
  <sheetData>
    <row r="1">
      <c r="B1" s="5" t="s">
        <v>80</v>
      </c>
      <c r="C1" s="5" t="s">
        <v>81</v>
      </c>
    </row>
    <row r="2">
      <c r="A2" s="5" t="s">
        <v>82</v>
      </c>
      <c r="B2" s="5">
        <v>5000.0</v>
      </c>
      <c r="C2" s="5">
        <v>1583.0</v>
      </c>
      <c r="D2" s="9">
        <f>C2/B2</f>
        <v>0.3166</v>
      </c>
      <c r="F2" s="5" t="s">
        <v>83</v>
      </c>
      <c r="G2" s="5">
        <v>1.0</v>
      </c>
    </row>
    <row r="3">
      <c r="A3" s="5" t="s">
        <v>84</v>
      </c>
      <c r="B3" s="21">
        <v>12500.0</v>
      </c>
      <c r="C3" s="9">
        <f t="shared" ref="C3:C5" si="1">B3*$D$2</f>
        <v>3957.5</v>
      </c>
      <c r="F3" s="5" t="s">
        <v>85</v>
      </c>
      <c r="G3" s="5">
        <v>264.0</v>
      </c>
      <c r="H3" s="5" t="s">
        <v>86</v>
      </c>
    </row>
    <row r="4">
      <c r="A4" s="5" t="s">
        <v>87</v>
      </c>
      <c r="B4" s="5">
        <v>4000.0</v>
      </c>
      <c r="C4" s="9">
        <f t="shared" si="1"/>
        <v>1266.4</v>
      </c>
      <c r="F4" s="5" t="s">
        <v>88</v>
      </c>
      <c r="G4" s="5">
        <v>110.0</v>
      </c>
      <c r="H4" s="5" t="s">
        <v>89</v>
      </c>
    </row>
    <row r="5">
      <c r="A5" s="5" t="s">
        <v>90</v>
      </c>
      <c r="B5" s="5">
        <v>20000.0</v>
      </c>
      <c r="C5" s="9">
        <f t="shared" si="1"/>
        <v>6332</v>
      </c>
      <c r="F5" s="5" t="s">
        <v>91</v>
      </c>
      <c r="G5" s="5">
        <v>1.8</v>
      </c>
      <c r="H5" s="5" t="s">
        <v>92</v>
      </c>
    </row>
    <row r="6">
      <c r="C6" s="9">
        <f>SUM(C2:C5)</f>
        <v>13138.9</v>
      </c>
      <c r="F6" s="5" t="s">
        <v>93</v>
      </c>
      <c r="G6" s="5">
        <v>0.2</v>
      </c>
      <c r="H6" s="5" t="s">
        <v>94</v>
      </c>
    </row>
    <row r="8">
      <c r="F8" s="5" t="s">
        <v>95</v>
      </c>
    </row>
    <row r="9">
      <c r="F9" s="5" t="s">
        <v>96</v>
      </c>
      <c r="G9" s="9">
        <f>365*G2*G5*G3/100</f>
        <v>1734.48</v>
      </c>
    </row>
    <row r="10">
      <c r="F10" s="5" t="s">
        <v>97</v>
      </c>
      <c r="G10" s="9">
        <f>365*G2*G6*G4</f>
        <v>8030</v>
      </c>
    </row>
    <row r="11">
      <c r="F11" s="5" t="s">
        <v>98</v>
      </c>
      <c r="G11" s="9">
        <f>SUM(G9:G10)</f>
        <v>9764.48</v>
      </c>
    </row>
    <row r="13">
      <c r="F13" s="15" t="s">
        <v>99</v>
      </c>
      <c r="G13" s="15" t="s">
        <v>100</v>
      </c>
      <c r="H13" s="15" t="s">
        <v>101</v>
      </c>
      <c r="I13" s="15" t="s">
        <v>102</v>
      </c>
    </row>
    <row r="14">
      <c r="B14" s="5" t="s">
        <v>103</v>
      </c>
      <c r="C14" s="5" t="s">
        <v>104</v>
      </c>
      <c r="F14" s="5" t="s">
        <v>105</v>
      </c>
      <c r="G14" s="22">
        <f>21.43/100</f>
        <v>0.2143</v>
      </c>
      <c r="H14" s="22">
        <f>G14/0.116</f>
        <v>1.847413793</v>
      </c>
      <c r="I14" s="22">
        <f>(335000/4)*H14</f>
        <v>154720.9052</v>
      </c>
    </row>
    <row r="15">
      <c r="A15" s="5" t="s">
        <v>106</v>
      </c>
      <c r="B15" s="23">
        <v>-94000.0</v>
      </c>
      <c r="C15" s="23">
        <v>-13138.9</v>
      </c>
      <c r="F15" s="5" t="s">
        <v>107</v>
      </c>
      <c r="G15" s="23">
        <v>2.73</v>
      </c>
      <c r="H15" s="22">
        <f>G15/0.1315</f>
        <v>20.76045627</v>
      </c>
      <c r="I15" s="22">
        <f>(335000/4/6)*H15</f>
        <v>289781.3688</v>
      </c>
    </row>
    <row r="16">
      <c r="A16" s="5" t="s">
        <v>108</v>
      </c>
      <c r="B16" s="24">
        <v>-9764.5</v>
      </c>
      <c r="F16" s="5" t="s">
        <v>109</v>
      </c>
      <c r="G16" s="23">
        <v>1.95</v>
      </c>
      <c r="H16" s="22">
        <f>G16/0.12</f>
        <v>16.25</v>
      </c>
      <c r="I16" s="22">
        <f>(335000/4)*G16</f>
        <v>163312.5</v>
      </c>
    </row>
    <row r="17">
      <c r="A17" s="5" t="s">
        <v>110</v>
      </c>
      <c r="B17" s="5">
        <v>20.0</v>
      </c>
      <c r="C17" s="5">
        <v>10.0</v>
      </c>
      <c r="F17" s="5" t="s">
        <v>111</v>
      </c>
      <c r="G17" s="23">
        <v>1.23</v>
      </c>
      <c r="H17" s="22">
        <f>G17/0.113</f>
        <v>10.88495575</v>
      </c>
      <c r="I17" s="22">
        <f>(335000/4)*H17</f>
        <v>911615.0442</v>
      </c>
    </row>
    <row r="18">
      <c r="A18" s="5" t="s">
        <v>112</v>
      </c>
      <c r="B18" s="25">
        <v>0.0775</v>
      </c>
      <c r="C18" s="25">
        <v>0.0775</v>
      </c>
      <c r="G18" s="22"/>
      <c r="H18" s="22"/>
      <c r="I18" s="26">
        <f>SUM(I14:I17)</f>
        <v>1519429.818</v>
      </c>
    </row>
    <row r="20">
      <c r="A20" s="5" t="s">
        <v>113</v>
      </c>
      <c r="B20" s="22">
        <f>B15+C15-pv(C18,C17,B16)</f>
        <v>-173404.7858</v>
      </c>
      <c r="C20" s="5" t="s">
        <v>114</v>
      </c>
      <c r="F20" s="5" t="s">
        <v>115</v>
      </c>
      <c r="G20" s="5">
        <v>0.181</v>
      </c>
    </row>
    <row r="22">
      <c r="A22" s="5" t="s">
        <v>116</v>
      </c>
      <c r="B22" s="22">
        <f>(G22*52)-B16</f>
        <v>14310637.95</v>
      </c>
      <c r="F22" s="5" t="s">
        <v>117</v>
      </c>
      <c r="G22" s="9">
        <f>I18*G20</f>
        <v>275016.7971</v>
      </c>
    </row>
    <row r="23">
      <c r="A23" s="5" t="s">
        <v>118</v>
      </c>
      <c r="B23" s="9">
        <f>nper(7.75,B22,B20)</f>
        <v>0.04546439689</v>
      </c>
      <c r="C23" s="5" t="s">
        <v>119</v>
      </c>
    </row>
    <row r="24">
      <c r="B24" s="5">
        <v>16.4</v>
      </c>
      <c r="C24" s="5" t="s">
        <v>120</v>
      </c>
    </row>
  </sheetData>
  <mergeCells count="1">
    <mergeCell ref="B16:C1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0"/>
    <col customWidth="1" min="3" max="3" width="17.63"/>
    <col customWidth="1" min="4" max="4" width="17.25"/>
    <col customWidth="1" min="5" max="5" width="17.13"/>
    <col customWidth="1" min="7" max="7" width="12.75"/>
    <col customWidth="1" min="8" max="8" width="13.13"/>
    <col customWidth="1" min="9" max="9" width="14.0"/>
    <col customWidth="1" min="10" max="10" width="14.13"/>
  </cols>
  <sheetData>
    <row r="31">
      <c r="A31" s="5"/>
    </row>
  </sheetData>
  <drawing r:id="rId1"/>
</worksheet>
</file>