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theme/themeOverride4.xml" ContentType="application/vnd.openxmlformats-officedocument.themeOverrid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5.xml" ContentType="application/vnd.openxmlformats-officedocument.themeOverrid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ubo/myprojects/channelized-pdcs/"/>
    </mc:Choice>
  </mc:AlternateContent>
  <bookViews>
    <workbookView xWindow="24200" yWindow="2140" windowWidth="26580" windowHeight="23440" tabRatio="993" activeTab="4"/>
  </bookViews>
  <sheets>
    <sheet name="channels" sheetId="1" r:id="rId1"/>
    <sheet name="total av" sheetId="2" r:id="rId2"/>
    <sheet name="Width and Depths" sheetId="3" r:id="rId3"/>
    <sheet name="histogram" sheetId="4" r:id="rId4"/>
    <sheet name="sims" sheetId="6" r:id="rId5"/>
    <sheet name="wavelength" sheetId="7" r:id="rId6"/>
    <sheet name="charts" sheetId="5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" i="3" l="1"/>
  <c r="J54" i="1"/>
  <c r="K54" i="1"/>
  <c r="L54" i="1"/>
  <c r="M54" i="1"/>
  <c r="N54" i="1"/>
  <c r="O54" i="1"/>
  <c r="K33" i="1"/>
  <c r="H54" i="1"/>
  <c r="G54" i="1"/>
  <c r="P54" i="1"/>
  <c r="Q54" i="1"/>
  <c r="F54" i="1"/>
  <c r="D9" i="2"/>
  <c r="G58" i="1"/>
  <c r="I18" i="7" a="1"/>
  <c r="I18" i="7"/>
  <c r="I19" i="7"/>
  <c r="I20" i="7"/>
  <c r="I21" i="7"/>
  <c r="I22" i="7"/>
  <c r="I23" i="7"/>
  <c r="I24" i="7"/>
  <c r="I25" i="7"/>
  <c r="I26" i="7"/>
  <c r="J19" i="7"/>
  <c r="J20" i="7"/>
  <c r="J21" i="7"/>
  <c r="J22" i="7"/>
  <c r="J23" i="7"/>
  <c r="J24" i="7"/>
  <c r="J25" i="7"/>
  <c r="J26" i="7"/>
  <c r="J18" i="7"/>
  <c r="K18" i="7"/>
  <c r="K19" i="7"/>
  <c r="K20" i="7"/>
  <c r="K21" i="7"/>
  <c r="K22" i="7"/>
  <c r="K23" i="7"/>
  <c r="K24" i="7"/>
  <c r="K25" i="7"/>
  <c r="K26" i="7"/>
  <c r="I15" i="1"/>
  <c r="I16" i="1"/>
  <c r="I17" i="1"/>
  <c r="I18" i="1"/>
  <c r="I20" i="1"/>
  <c r="I21" i="1"/>
  <c r="I22" i="1"/>
  <c r="I23" i="1"/>
  <c r="I24" i="1"/>
  <c r="I25" i="1"/>
  <c r="I27" i="1"/>
  <c r="I28" i="1"/>
  <c r="I29" i="1"/>
  <c r="I30" i="1"/>
  <c r="I31" i="1"/>
  <c r="I33" i="1"/>
  <c r="I34" i="1"/>
  <c r="I35" i="1"/>
  <c r="I36" i="1"/>
  <c r="I37" i="1"/>
  <c r="G57" i="1"/>
  <c r="I11" i="1"/>
  <c r="I12" i="1"/>
  <c r="I13" i="1"/>
  <c r="I10" i="1"/>
  <c r="I8" i="1"/>
  <c r="I4" i="1"/>
  <c r="I5" i="1"/>
  <c r="I6" i="1"/>
  <c r="I7" i="1"/>
  <c r="I3" i="1"/>
  <c r="M4" i="4"/>
  <c r="M5" i="4"/>
  <c r="M6" i="4"/>
  <c r="M7" i="4"/>
  <c r="M8" i="4"/>
  <c r="M9" i="4"/>
  <c r="M10" i="4"/>
  <c r="M11" i="4"/>
  <c r="M12" i="4"/>
  <c r="M13" i="4"/>
  <c r="M14" i="4"/>
  <c r="M15" i="4"/>
  <c r="M3" i="4"/>
  <c r="J4" i="4"/>
  <c r="J5" i="4"/>
  <c r="J6" i="4"/>
  <c r="J7" i="4"/>
  <c r="J8" i="4"/>
  <c r="J9" i="4"/>
  <c r="J10" i="4"/>
  <c r="J11" i="4"/>
  <c r="J12" i="4"/>
  <c r="J13" i="4"/>
  <c r="J14" i="4"/>
  <c r="J15" i="4"/>
  <c r="J3" i="4"/>
  <c r="G4" i="4"/>
  <c r="G5" i="4"/>
  <c r="G6" i="4"/>
  <c r="G7" i="4"/>
  <c r="G8" i="4"/>
  <c r="G9" i="4"/>
  <c r="G10" i="4"/>
  <c r="G11" i="4"/>
  <c r="G12" i="4"/>
  <c r="G13" i="4"/>
  <c r="G14" i="4"/>
  <c r="G15" i="4"/>
  <c r="G3" i="4"/>
  <c r="L3" i="4" a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I3" i="4" a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H6" i="4"/>
  <c r="H7" i="4"/>
  <c r="H8" i="4"/>
  <c r="H9" i="4"/>
  <c r="H10" i="4"/>
  <c r="H11" i="4"/>
  <c r="H12" i="4"/>
  <c r="H13" i="4"/>
  <c r="H14" i="4"/>
  <c r="H15" i="4"/>
  <c r="H5" i="4"/>
  <c r="F3" i="4" a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D39" i="1"/>
  <c r="AA59" i="5"/>
  <c r="AB59" i="5"/>
  <c r="Z59" i="5"/>
  <c r="AA55" i="5"/>
  <c r="AB55" i="5"/>
  <c r="AA57" i="5"/>
  <c r="AB57" i="5"/>
  <c r="AA60" i="5"/>
  <c r="AB60" i="5"/>
  <c r="AA61" i="5"/>
  <c r="AB61" i="5"/>
  <c r="Z55" i="5"/>
  <c r="Z57" i="5"/>
  <c r="Z60" i="5"/>
  <c r="Z61" i="5"/>
  <c r="Q8" i="2"/>
  <c r="Q7" i="2"/>
  <c r="F37" i="1"/>
  <c r="F36" i="1"/>
  <c r="F35" i="1"/>
  <c r="F34" i="1"/>
  <c r="F33" i="1"/>
  <c r="X6" i="4"/>
  <c r="Y6" i="4"/>
  <c r="W6" i="4"/>
  <c r="P3" i="4"/>
  <c r="C5" i="4"/>
  <c r="C6" i="4"/>
  <c r="H48" i="4"/>
  <c r="I48" i="4"/>
  <c r="L1" i="4"/>
  <c r="H1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D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3" i="4"/>
  <c r="E5" i="4"/>
  <c r="E6" i="4"/>
  <c r="E7" i="4"/>
  <c r="E8" i="4"/>
  <c r="E9" i="4"/>
  <c r="E10" i="4"/>
  <c r="E11" i="4"/>
  <c r="E12" i="4"/>
  <c r="E1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3" i="4"/>
  <c r="H6" i="7"/>
  <c r="H7" i="7"/>
  <c r="H8" i="7"/>
  <c r="H9" i="7"/>
  <c r="H10" i="7"/>
  <c r="H11" i="7"/>
  <c r="H12" i="7"/>
  <c r="H13" i="7"/>
  <c r="H14" i="7"/>
  <c r="I5" i="7" a="1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5" i="7"/>
  <c r="J5" i="7"/>
  <c r="K5" i="7"/>
  <c r="O2" i="7"/>
  <c r="M2" i="7"/>
  <c r="K2" i="7"/>
  <c r="H2" i="7"/>
  <c r="F31" i="7"/>
  <c r="F30" i="7"/>
  <c r="F29" i="7"/>
  <c r="Q3" i="1"/>
  <c r="Q4" i="1"/>
  <c r="Q5" i="1"/>
  <c r="Q6" i="1"/>
  <c r="X7" i="1"/>
  <c r="Q7" i="1"/>
  <c r="Q8" i="1"/>
  <c r="Q10" i="1"/>
  <c r="T5" i="1"/>
  <c r="T6" i="1"/>
  <c r="T7" i="1"/>
  <c r="P7" i="2"/>
  <c r="P8" i="2"/>
  <c r="P3" i="2"/>
  <c r="P4" i="2"/>
  <c r="P5" i="2"/>
  <c r="P6" i="2"/>
  <c r="P2" i="2"/>
  <c r="L55" i="4"/>
  <c r="L54" i="4"/>
  <c r="L53" i="4"/>
  <c r="J50" i="4"/>
  <c r="L50" i="4"/>
  <c r="I50" i="4"/>
  <c r="H50" i="4"/>
  <c r="AB3" i="1"/>
  <c r="AC3" i="1"/>
  <c r="AB4" i="1"/>
  <c r="AC4" i="1"/>
  <c r="AB5" i="1"/>
  <c r="AC5" i="1"/>
  <c r="AB6" i="1"/>
  <c r="AC6" i="1"/>
  <c r="AB7" i="1"/>
  <c r="AC7" i="1"/>
  <c r="AB8" i="1"/>
  <c r="AC8" i="1"/>
  <c r="AB10" i="1"/>
  <c r="AC10" i="1"/>
  <c r="AB11" i="1"/>
  <c r="AC11" i="1"/>
  <c r="AB12" i="1"/>
  <c r="AC12" i="1"/>
  <c r="AB13" i="1"/>
  <c r="AC13" i="1"/>
  <c r="AB15" i="1"/>
  <c r="AC15" i="1"/>
  <c r="AC16" i="1"/>
  <c r="AB17" i="1"/>
  <c r="AC17" i="1"/>
  <c r="AC18" i="1"/>
  <c r="AC20" i="1"/>
  <c r="AC21" i="1"/>
  <c r="AB22" i="1"/>
  <c r="AC22" i="1"/>
  <c r="AC23" i="1"/>
  <c r="AB24" i="1"/>
  <c r="AC24" i="1"/>
  <c r="AB25" i="1"/>
  <c r="AC25" i="1"/>
  <c r="AB27" i="1"/>
  <c r="AC27" i="1"/>
  <c r="AB28" i="1"/>
  <c r="AC28" i="1"/>
  <c r="AB29" i="1"/>
  <c r="AC29" i="1"/>
  <c r="AB30" i="1"/>
  <c r="AC30" i="1"/>
  <c r="AB31" i="1"/>
  <c r="AC31" i="1"/>
  <c r="AB53" i="1"/>
  <c r="AB49" i="1"/>
  <c r="AC49" i="1"/>
  <c r="AB52" i="1"/>
  <c r="M62" i="4"/>
  <c r="M61" i="4"/>
  <c r="H49" i="4"/>
  <c r="I49" i="4"/>
  <c r="N49" i="4"/>
  <c r="L49" i="4"/>
  <c r="J49" i="4"/>
  <c r="N48" i="4"/>
  <c r="L48" i="4"/>
  <c r="J48" i="4"/>
  <c r="E14" i="4"/>
  <c r="E15" i="4"/>
  <c r="E16" i="4"/>
  <c r="F1" i="4"/>
  <c r="E53" i="3"/>
  <c r="E52" i="3"/>
  <c r="E51" i="3"/>
  <c r="E50" i="3"/>
  <c r="E49" i="3"/>
  <c r="E48" i="3"/>
  <c r="E47" i="3"/>
  <c r="E46" i="3"/>
  <c r="E45" i="3"/>
  <c r="E43" i="3"/>
  <c r="E42" i="3"/>
  <c r="E41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4" i="3"/>
  <c r="E23" i="3"/>
  <c r="E22" i="3"/>
  <c r="E21" i="3"/>
  <c r="E20" i="3"/>
  <c r="E19" i="3"/>
  <c r="E17" i="3"/>
  <c r="J16" i="3"/>
  <c r="E16" i="3"/>
  <c r="J15" i="3"/>
  <c r="E15" i="3"/>
  <c r="J14" i="3"/>
  <c r="E14" i="3"/>
  <c r="E13" i="3"/>
  <c r="J12" i="3"/>
  <c r="E12" i="3"/>
  <c r="J11" i="3"/>
  <c r="E11" i="3"/>
  <c r="J10" i="3"/>
  <c r="E10" i="3"/>
  <c r="J9" i="3"/>
  <c r="E9" i="3"/>
  <c r="J8" i="3"/>
  <c r="E8" i="3"/>
  <c r="J7" i="3"/>
  <c r="E7" i="3"/>
  <c r="D7" i="3"/>
  <c r="J6" i="3"/>
  <c r="E6" i="3"/>
  <c r="D6" i="3"/>
  <c r="J5" i="3"/>
  <c r="E5" i="3"/>
  <c r="J4" i="3"/>
  <c r="E4" i="3"/>
  <c r="J3" i="3"/>
  <c r="E3" i="3"/>
  <c r="J2" i="3"/>
  <c r="E2" i="3"/>
  <c r="O8" i="2"/>
  <c r="O7" i="2"/>
  <c r="O6" i="2"/>
  <c r="O5" i="2"/>
  <c r="O4" i="2"/>
  <c r="O3" i="2"/>
  <c r="O2" i="2"/>
  <c r="K3" i="1"/>
  <c r="L3" i="1"/>
  <c r="W3" i="1"/>
  <c r="K4" i="1"/>
  <c r="L4" i="1"/>
  <c r="W4" i="1"/>
  <c r="K5" i="1"/>
  <c r="L5" i="1"/>
  <c r="W5" i="1"/>
  <c r="K6" i="1"/>
  <c r="L6" i="1"/>
  <c r="W6" i="1"/>
  <c r="K7" i="1"/>
  <c r="L7" i="1"/>
  <c r="W7" i="1"/>
  <c r="K8" i="1"/>
  <c r="L8" i="1"/>
  <c r="W8" i="1"/>
  <c r="K10" i="1"/>
  <c r="L10" i="1"/>
  <c r="W10" i="1"/>
  <c r="K11" i="1"/>
  <c r="L11" i="1"/>
  <c r="W11" i="1"/>
  <c r="K12" i="1"/>
  <c r="L12" i="1"/>
  <c r="W12" i="1"/>
  <c r="K13" i="1"/>
  <c r="L13" i="1"/>
  <c r="W13" i="1"/>
  <c r="K15" i="1"/>
  <c r="L15" i="1"/>
  <c r="W15" i="1"/>
  <c r="K16" i="1"/>
  <c r="L16" i="1"/>
  <c r="W16" i="1"/>
  <c r="K17" i="1"/>
  <c r="L17" i="1"/>
  <c r="W17" i="1"/>
  <c r="K18" i="1"/>
  <c r="L18" i="1"/>
  <c r="W18" i="1"/>
  <c r="K20" i="1"/>
  <c r="L20" i="1"/>
  <c r="W20" i="1"/>
  <c r="K21" i="1"/>
  <c r="L21" i="1"/>
  <c r="W21" i="1"/>
  <c r="K22" i="1"/>
  <c r="L22" i="1"/>
  <c r="W22" i="1"/>
  <c r="K23" i="1"/>
  <c r="L23" i="1"/>
  <c r="W23" i="1"/>
  <c r="K24" i="1"/>
  <c r="L24" i="1"/>
  <c r="W24" i="1"/>
  <c r="K25" i="1"/>
  <c r="L25" i="1"/>
  <c r="W25" i="1"/>
  <c r="K27" i="1"/>
  <c r="L27" i="1"/>
  <c r="W27" i="1"/>
  <c r="K28" i="1"/>
  <c r="L28" i="1"/>
  <c r="W28" i="1"/>
  <c r="K29" i="1"/>
  <c r="L29" i="1"/>
  <c r="W29" i="1"/>
  <c r="K30" i="1"/>
  <c r="L30" i="1"/>
  <c r="W30" i="1"/>
  <c r="K31" i="1"/>
  <c r="L31" i="1"/>
  <c r="W31" i="1"/>
  <c r="V56" i="1"/>
  <c r="T56" i="1"/>
  <c r="R56" i="1"/>
  <c r="Q56" i="1"/>
  <c r="P56" i="1"/>
  <c r="P3" i="1"/>
  <c r="P4" i="1"/>
  <c r="P5" i="1"/>
  <c r="P6" i="1"/>
  <c r="P7" i="1"/>
  <c r="P8" i="1"/>
  <c r="P10" i="1"/>
  <c r="P11" i="1"/>
  <c r="P12" i="1"/>
  <c r="P13" i="1"/>
  <c r="P15" i="1"/>
  <c r="P16" i="1"/>
  <c r="P17" i="1"/>
  <c r="P18" i="1"/>
  <c r="P20" i="1"/>
  <c r="P21" i="1"/>
  <c r="P22" i="1"/>
  <c r="P23" i="1"/>
  <c r="P24" i="1"/>
  <c r="P25" i="1"/>
  <c r="P27" i="1"/>
  <c r="P28" i="1"/>
  <c r="P29" i="1"/>
  <c r="P30" i="1"/>
  <c r="P31" i="1"/>
  <c r="O56" i="1"/>
  <c r="O3" i="1"/>
  <c r="O10" i="1"/>
  <c r="O11" i="1"/>
  <c r="O12" i="1"/>
  <c r="O13" i="1"/>
  <c r="O15" i="1"/>
  <c r="O16" i="1"/>
  <c r="O17" i="1"/>
  <c r="O18" i="1"/>
  <c r="O20" i="1"/>
  <c r="O21" i="1"/>
  <c r="O22" i="1"/>
  <c r="O23" i="1"/>
  <c r="O24" i="1"/>
  <c r="O25" i="1"/>
  <c r="O27" i="1"/>
  <c r="O28" i="1"/>
  <c r="O29" i="1"/>
  <c r="O30" i="1"/>
  <c r="O31" i="1"/>
  <c r="N56" i="1"/>
  <c r="N3" i="1"/>
  <c r="N4" i="1"/>
  <c r="N5" i="1"/>
  <c r="N6" i="1"/>
  <c r="N7" i="1"/>
  <c r="N8" i="1"/>
  <c r="N10" i="1"/>
  <c r="N11" i="1"/>
  <c r="N12" i="1"/>
  <c r="N13" i="1"/>
  <c r="N15" i="1"/>
  <c r="N16" i="1"/>
  <c r="N17" i="1"/>
  <c r="N18" i="1"/>
  <c r="N20" i="1"/>
  <c r="N21" i="1"/>
  <c r="N22" i="1"/>
  <c r="N23" i="1"/>
  <c r="N24" i="1"/>
  <c r="N25" i="1"/>
  <c r="N27" i="1"/>
  <c r="N28" i="1"/>
  <c r="N29" i="1"/>
  <c r="N30" i="1"/>
  <c r="N31" i="1"/>
  <c r="M56" i="1"/>
  <c r="M3" i="1"/>
  <c r="M10" i="1"/>
  <c r="M11" i="1"/>
  <c r="M12" i="1"/>
  <c r="M13" i="1"/>
  <c r="M15" i="1"/>
  <c r="M16" i="1"/>
  <c r="M17" i="1"/>
  <c r="M18" i="1"/>
  <c r="M20" i="1"/>
  <c r="M21" i="1"/>
  <c r="M22" i="1"/>
  <c r="M23" i="1"/>
  <c r="M24" i="1"/>
  <c r="M25" i="1"/>
  <c r="M27" i="1"/>
  <c r="M28" i="1"/>
  <c r="M29" i="1"/>
  <c r="M30" i="1"/>
  <c r="M31" i="1"/>
  <c r="L56" i="1"/>
  <c r="K56" i="1"/>
  <c r="J56" i="1"/>
  <c r="H56" i="1"/>
  <c r="G3" i="1"/>
  <c r="H3" i="1"/>
  <c r="H4" i="1"/>
  <c r="H5" i="1"/>
  <c r="H6" i="1"/>
  <c r="H7" i="1"/>
  <c r="H8" i="1"/>
  <c r="H10" i="1"/>
  <c r="H11" i="1"/>
  <c r="H12" i="1"/>
  <c r="H13" i="1"/>
  <c r="H15" i="1"/>
  <c r="H16" i="1"/>
  <c r="H17" i="1"/>
  <c r="H18" i="1"/>
  <c r="H20" i="1"/>
  <c r="H21" i="1"/>
  <c r="H22" i="1"/>
  <c r="H23" i="1"/>
  <c r="H24" i="1"/>
  <c r="H25" i="1"/>
  <c r="H27" i="1"/>
  <c r="H28" i="1"/>
  <c r="H29" i="1"/>
  <c r="H30" i="1"/>
  <c r="H31" i="1"/>
  <c r="G56" i="1"/>
  <c r="F3" i="1"/>
  <c r="F4" i="1"/>
  <c r="F5" i="1"/>
  <c r="F6" i="1"/>
  <c r="F7" i="1"/>
  <c r="F8" i="1"/>
  <c r="F10" i="1"/>
  <c r="F11" i="1"/>
  <c r="F12" i="1"/>
  <c r="F13" i="1"/>
  <c r="F15" i="1"/>
  <c r="F16" i="1"/>
  <c r="F17" i="1"/>
  <c r="F18" i="1"/>
  <c r="F20" i="1"/>
  <c r="F21" i="1"/>
  <c r="F22" i="1"/>
  <c r="F23" i="1"/>
  <c r="F24" i="1"/>
  <c r="F25" i="1"/>
  <c r="F27" i="1"/>
  <c r="F28" i="1"/>
  <c r="F29" i="1"/>
  <c r="F30" i="1"/>
  <c r="F31" i="1"/>
  <c r="F56" i="1"/>
  <c r="V55" i="1"/>
  <c r="T55" i="1"/>
  <c r="R55" i="1"/>
  <c r="Q55" i="1"/>
  <c r="P55" i="1"/>
  <c r="O55" i="1"/>
  <c r="N55" i="1"/>
  <c r="M55" i="1"/>
  <c r="L55" i="1"/>
  <c r="K55" i="1"/>
  <c r="J55" i="1"/>
  <c r="H55" i="1"/>
  <c r="G55" i="1"/>
  <c r="F55" i="1"/>
  <c r="T53" i="1"/>
  <c r="R53" i="1"/>
  <c r="Q53" i="1"/>
  <c r="P53" i="1"/>
  <c r="O53" i="1"/>
  <c r="N53" i="1"/>
  <c r="M53" i="1"/>
  <c r="L53" i="1"/>
  <c r="K53" i="1"/>
  <c r="J53" i="1"/>
  <c r="H53" i="1"/>
  <c r="G53" i="1"/>
  <c r="F53" i="1"/>
  <c r="E53" i="1"/>
  <c r="T52" i="1"/>
  <c r="R52" i="1"/>
  <c r="Q52" i="1"/>
  <c r="P52" i="1"/>
  <c r="O52" i="1"/>
  <c r="N52" i="1"/>
  <c r="M52" i="1"/>
  <c r="L52" i="1"/>
  <c r="K52" i="1"/>
  <c r="J52" i="1"/>
  <c r="H52" i="1"/>
  <c r="G52" i="1"/>
  <c r="F52" i="1"/>
  <c r="E52" i="1"/>
  <c r="T51" i="1"/>
  <c r="R51" i="1"/>
  <c r="Q51" i="1"/>
  <c r="P51" i="1"/>
  <c r="O51" i="1"/>
  <c r="N51" i="1"/>
  <c r="M51" i="1"/>
  <c r="L51" i="1"/>
  <c r="K51" i="1"/>
  <c r="J51" i="1"/>
  <c r="H51" i="1"/>
  <c r="G51" i="1"/>
  <c r="F51" i="1"/>
  <c r="E51" i="1"/>
  <c r="Z3" i="1"/>
  <c r="AA3" i="1"/>
  <c r="Z4" i="1"/>
  <c r="AA4" i="1"/>
  <c r="Z5" i="1"/>
  <c r="AA5" i="1"/>
  <c r="Z6" i="1"/>
  <c r="AA6" i="1"/>
  <c r="Z7" i="1"/>
  <c r="AA7" i="1"/>
  <c r="Z8" i="1"/>
  <c r="AA8" i="1"/>
  <c r="Z10" i="1"/>
  <c r="AA10" i="1"/>
  <c r="Z11" i="1"/>
  <c r="AA11" i="1"/>
  <c r="Z12" i="1"/>
  <c r="AA12" i="1"/>
  <c r="Z13" i="1"/>
  <c r="AA13" i="1"/>
  <c r="Z15" i="1"/>
  <c r="AA15" i="1"/>
  <c r="Z16" i="1"/>
  <c r="Z17" i="1"/>
  <c r="AA17" i="1"/>
  <c r="Z18" i="1"/>
  <c r="Z20" i="1"/>
  <c r="Z21" i="1"/>
  <c r="Z22" i="1"/>
  <c r="AA22" i="1"/>
  <c r="Z23" i="1"/>
  <c r="Z24" i="1"/>
  <c r="AA24" i="1"/>
  <c r="Z25" i="1"/>
  <c r="AA25" i="1"/>
  <c r="Z27" i="1"/>
  <c r="AA27" i="1"/>
  <c r="Z28" i="1"/>
  <c r="AA28" i="1"/>
  <c r="Z29" i="1"/>
  <c r="AA29" i="1"/>
  <c r="Z30" i="1"/>
  <c r="AA30" i="1"/>
  <c r="Z31" i="1"/>
  <c r="AA31" i="1"/>
  <c r="Z50" i="1"/>
  <c r="T50" i="1"/>
  <c r="R50" i="1"/>
  <c r="Q50" i="1"/>
  <c r="P50" i="1"/>
  <c r="O50" i="1"/>
  <c r="N50" i="1"/>
  <c r="M50" i="1"/>
  <c r="L50" i="1"/>
  <c r="K50" i="1"/>
  <c r="J50" i="1"/>
  <c r="H50" i="1"/>
  <c r="G50" i="1"/>
  <c r="F50" i="1"/>
  <c r="E50" i="1"/>
  <c r="Z49" i="1"/>
  <c r="T49" i="1"/>
  <c r="R49" i="1"/>
  <c r="Q49" i="1"/>
  <c r="P49" i="1"/>
  <c r="O49" i="1"/>
  <c r="N49" i="1"/>
  <c r="M49" i="1"/>
  <c r="L49" i="1"/>
  <c r="K49" i="1"/>
  <c r="J49" i="1"/>
  <c r="H49" i="1"/>
  <c r="G49" i="1"/>
  <c r="F49" i="1"/>
  <c r="E49" i="1"/>
  <c r="Y31" i="1"/>
  <c r="Y30" i="1"/>
  <c r="Y29" i="1"/>
  <c r="Y28" i="1"/>
  <c r="Y27" i="1"/>
  <c r="Y25" i="1"/>
  <c r="Y24" i="1"/>
  <c r="Y22" i="1"/>
  <c r="Y17" i="1"/>
  <c r="Y15" i="1"/>
  <c r="Y13" i="1"/>
  <c r="Y12" i="1"/>
  <c r="Y11" i="1"/>
  <c r="Y10" i="1"/>
  <c r="Y8" i="1"/>
  <c r="Y7" i="1"/>
  <c r="Y6" i="1"/>
  <c r="Y5" i="1"/>
  <c r="Y4" i="1"/>
  <c r="Y3" i="1"/>
</calcChain>
</file>

<file path=xl/sharedStrings.xml><?xml version="1.0" encoding="utf-8"?>
<sst xmlns="http://schemas.openxmlformats.org/spreadsheetml/2006/main" count="265" uniqueCount="166">
  <si>
    <t>channel label</t>
  </si>
  <si>
    <t xml:space="preserve">start </t>
  </si>
  <si>
    <t xml:space="preserve">end </t>
  </si>
  <si>
    <t>downvalley length</t>
  </si>
  <si>
    <t>channel length</t>
  </si>
  <si>
    <t>SI</t>
  </si>
  <si>
    <t>elevation change</t>
  </si>
  <si>
    <t>max slope</t>
  </si>
  <si>
    <t>average width</t>
  </si>
  <si>
    <t>average depth</t>
  </si>
  <si>
    <t>min width</t>
  </si>
  <si>
    <t>min depth</t>
  </si>
  <si>
    <t>max width</t>
  </si>
  <si>
    <t>max depth</t>
  </si>
  <si>
    <t>highest wavelength</t>
  </si>
  <si>
    <t>associated amplitude</t>
  </si>
  <si>
    <t>lowest wavelength</t>
  </si>
  <si>
    <t>W/D</t>
  </si>
  <si>
    <t>hL/lL</t>
  </si>
  <si>
    <t>amplitude</t>
  </si>
  <si>
    <t>Merapi (6)</t>
  </si>
  <si>
    <t>channel 1</t>
  </si>
  <si>
    <t>437008.90 m E, 9165432.90 m S</t>
  </si>
  <si>
    <t>429559.39 m E, 9158963.43 m S</t>
  </si>
  <si>
    <t xml:space="preserve">channel 5 </t>
  </si>
  <si>
    <t>439814.00 m E, 9166329.00 m S</t>
  </si>
  <si>
    <t>443878.59 m E, 9156394.77 m S</t>
  </si>
  <si>
    <t>channel 3</t>
  </si>
  <si>
    <t>437981.46 m E, 9164862.76 m S</t>
  </si>
  <si>
    <t>channel 4</t>
  </si>
  <si>
    <t>439604.00 m E,9164857.00 m S</t>
  </si>
  <si>
    <t>440637.55 m E, 9154798.63 m S</t>
  </si>
  <si>
    <t>channel 2</t>
  </si>
  <si>
    <t>437044.00 m E, 9166513.00 m S</t>
  </si>
  <si>
    <t>, 9162266.18 m S</t>
  </si>
  <si>
    <t>channel 6</t>
  </si>
  <si>
    <t>Colima (4)</t>
  </si>
  <si>
    <t>channel1</t>
  </si>
  <si>
    <t>channel2</t>
  </si>
  <si>
    <t>Monserrat (4)</t>
  </si>
  <si>
    <t xml:space="preserve">channel3 </t>
  </si>
  <si>
    <t>channel 5</t>
  </si>
  <si>
    <t>Unzen (6)</t>
  </si>
  <si>
    <t xml:space="preserve">channel1 </t>
  </si>
  <si>
    <t>channel4</t>
  </si>
  <si>
    <t>channel 8</t>
  </si>
  <si>
    <t>Sakurajima (5)</t>
  </si>
  <si>
    <t>Sinuosity</t>
  </si>
  <si>
    <t>Average Slope</t>
  </si>
  <si>
    <t>Maximum Slope</t>
  </si>
  <si>
    <t>Average Width</t>
  </si>
  <si>
    <t>Average Depth</t>
  </si>
  <si>
    <t>Minimum Width</t>
  </si>
  <si>
    <t>Minimum Depth</t>
  </si>
  <si>
    <t>Max Width</t>
  </si>
  <si>
    <t>Maximum Depth</t>
  </si>
  <si>
    <t>Highest Wavelenth</t>
  </si>
  <si>
    <t>Associated Amplitude</t>
  </si>
  <si>
    <t>Lowest Wavelength</t>
  </si>
  <si>
    <t>Associate Amplitude</t>
  </si>
  <si>
    <t>All</t>
  </si>
  <si>
    <t>Standard Deviation</t>
  </si>
  <si>
    <t>Average Width (m)</t>
  </si>
  <si>
    <t>Average Depth (m)</t>
  </si>
  <si>
    <t>Minimum Width (m)</t>
  </si>
  <si>
    <t>Minimum Depth (m)</t>
  </si>
  <si>
    <t>Max Width (m)</t>
  </si>
  <si>
    <t>Maximum Depth (m)</t>
  </si>
  <si>
    <t>Highest Wavelenth (m)</t>
  </si>
  <si>
    <t>Associated Amplitude (m)</t>
  </si>
  <si>
    <t>Lowest Wavelength (m)</t>
  </si>
  <si>
    <t>Associate Amplitude (m)</t>
  </si>
  <si>
    <t>Merapi</t>
  </si>
  <si>
    <t>channel distance</t>
  </si>
  <si>
    <t>width</t>
  </si>
  <si>
    <t>depth</t>
  </si>
  <si>
    <t>Colima</t>
  </si>
  <si>
    <t>Monserrat</t>
  </si>
  <si>
    <t>Unzen</t>
  </si>
  <si>
    <t>Sakurajima</t>
  </si>
  <si>
    <t>channel 1 width</t>
  </si>
  <si>
    <t>CHANNEL 1</t>
  </si>
  <si>
    <t>CHANNEL 2</t>
  </si>
  <si>
    <t>channel 5_merap</t>
  </si>
  <si>
    <t>channel6</t>
  </si>
  <si>
    <t>channel3</t>
  </si>
  <si>
    <t xml:space="preserve">channel2 </t>
  </si>
  <si>
    <t>histogram</t>
  </si>
  <si>
    <t xml:space="preserve">bins </t>
  </si>
  <si>
    <t>Max</t>
  </si>
  <si>
    <t>Min</t>
  </si>
  <si>
    <t>Average</t>
  </si>
  <si>
    <t>STD</t>
  </si>
  <si>
    <t>Range</t>
  </si>
  <si>
    <t>Median</t>
  </si>
  <si>
    <t xml:space="preserve"> </t>
  </si>
  <si>
    <t>our simulations</t>
  </si>
  <si>
    <t>slope</t>
  </si>
  <si>
    <t>wavelength</t>
  </si>
  <si>
    <t>associated slope</t>
  </si>
  <si>
    <t>merapi 6</t>
  </si>
  <si>
    <t>merapi 4</t>
  </si>
  <si>
    <t xml:space="preserve">merapi 3 </t>
  </si>
  <si>
    <t>aspect</t>
  </si>
  <si>
    <t>all wave</t>
  </si>
  <si>
    <t>n</t>
  </si>
  <si>
    <t>k</t>
  </si>
  <si>
    <t>min</t>
  </si>
  <si>
    <t>max</t>
  </si>
  <si>
    <t>bins</t>
  </si>
  <si>
    <t>std</t>
  </si>
  <si>
    <t>average</t>
  </si>
  <si>
    <t>pdf</t>
  </si>
  <si>
    <t>W</t>
  </si>
  <si>
    <t>D</t>
  </si>
  <si>
    <t>A</t>
  </si>
  <si>
    <t>100-200</t>
  </si>
  <si>
    <t>200-300</t>
  </si>
  <si>
    <t>300-500</t>
  </si>
  <si>
    <t>0-13</t>
  </si>
  <si>
    <t>13-23</t>
  </si>
  <si>
    <t>33-43</t>
  </si>
  <si>
    <t>0-5</t>
  </si>
  <si>
    <t>5..15</t>
  </si>
  <si>
    <t>15-30</t>
  </si>
  <si>
    <t>Ranges based on statistical probability</t>
  </si>
  <si>
    <t>*note: I find depth suspect considering the resolution is likely 30m. I trust aspect ratio more</t>
  </si>
  <si>
    <t>160-636</t>
  </si>
  <si>
    <t>636-1113</t>
  </si>
  <si>
    <t>1113-1590</t>
  </si>
  <si>
    <t>Hood</t>
  </si>
  <si>
    <t>Channel 1</t>
  </si>
  <si>
    <t>nice v shaped channels</t>
  </si>
  <si>
    <t>very steep</t>
  </si>
  <si>
    <t>two channels come together</t>
  </si>
  <si>
    <t>starts U shaped</t>
  </si>
  <si>
    <t>amprat</t>
  </si>
  <si>
    <t>label</t>
  </si>
  <si>
    <t>B</t>
  </si>
  <si>
    <t>C</t>
  </si>
  <si>
    <t>E</t>
  </si>
  <si>
    <t>S</t>
  </si>
  <si>
    <t>X</t>
  </si>
  <si>
    <t>Y</t>
  </si>
  <si>
    <t>Z</t>
  </si>
  <si>
    <t>N</t>
  </si>
  <si>
    <t>V</t>
  </si>
  <si>
    <t>width/depth</t>
  </si>
  <si>
    <t>300/39</t>
  </si>
  <si>
    <t>100/15</t>
  </si>
  <si>
    <t>200/27</t>
  </si>
  <si>
    <t>volume flux</t>
  </si>
  <si>
    <t>Label</t>
  </si>
  <si>
    <t>Wavelength (m)</t>
  </si>
  <si>
    <t>Width/Depth (m)</t>
  </si>
  <si>
    <t>Inlet Height/Depth</t>
  </si>
  <si>
    <t>average slope (grade)</t>
  </si>
  <si>
    <t>average slope (degrees)</t>
  </si>
  <si>
    <t>Parameter</t>
  </si>
  <si>
    <t>Wavelength</t>
  </si>
  <si>
    <t>Amplitude Ratio</t>
  </si>
  <si>
    <t>Width/Depth</t>
  </si>
  <si>
    <t>Inlet Heigh/Depth Ratio</t>
  </si>
  <si>
    <t>(m)</t>
  </si>
  <si>
    <t>(m/m)</t>
  </si>
  <si>
    <t>0 (straight)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</si>
</sst>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7F7F7F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5" borderId="1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3" xfId="0" applyFont="1" applyBorder="1"/>
    <xf numFmtId="0" fontId="2" fillId="2" borderId="4" xfId="1" applyFont="1" applyFill="1" applyBorder="1" applyAlignment="1" applyProtection="1"/>
    <xf numFmtId="0" fontId="2" fillId="2" borderId="5" xfId="1" applyFont="1" applyFill="1" applyBorder="1" applyAlignment="1" applyProtection="1"/>
    <xf numFmtId="0" fontId="2" fillId="2" borderId="6" xfId="1" applyFont="1" applyFill="1" applyBorder="1" applyAlignment="1" applyProtection="1"/>
    <xf numFmtId="0" fontId="2" fillId="2" borderId="2" xfId="1" applyFont="1" applyFill="1" applyBorder="1" applyAlignment="1" applyProtection="1"/>
    <xf numFmtId="0" fontId="2" fillId="2" borderId="3" xfId="1" applyFont="1" applyFill="1" applyBorder="1" applyAlignment="1" applyProtection="1"/>
    <xf numFmtId="0" fontId="3" fillId="3" borderId="4" xfId="1" applyFont="1" applyFill="1" applyBorder="1" applyAlignment="1" applyProtection="1"/>
    <xf numFmtId="0" fontId="3" fillId="3" borderId="5" xfId="1" applyFont="1" applyFill="1" applyBorder="1" applyAlignment="1" applyProtection="1"/>
    <xf numFmtId="0" fontId="3" fillId="3" borderId="6" xfId="1" applyFont="1" applyFill="1" applyBorder="1" applyAlignment="1" applyProtection="1"/>
    <xf numFmtId="0" fontId="3" fillId="3" borderId="2" xfId="1" applyFont="1" applyFill="1" applyBorder="1" applyAlignment="1" applyProtection="1"/>
    <xf numFmtId="0" fontId="3" fillId="3" borderId="3" xfId="1" applyFont="1" applyFill="1" applyBorder="1" applyAlignment="1" applyProtection="1"/>
    <xf numFmtId="0" fontId="4" fillId="4" borderId="4" xfId="1" applyFont="1" applyFill="1" applyBorder="1" applyAlignment="1" applyProtection="1"/>
    <xf numFmtId="0" fontId="4" fillId="4" borderId="5" xfId="1" applyFont="1" applyFill="1" applyBorder="1" applyAlignment="1" applyProtection="1"/>
    <xf numFmtId="0" fontId="4" fillId="4" borderId="6" xfId="1" applyFont="1" applyFill="1" applyBorder="1" applyAlignment="1" applyProtection="1"/>
    <xf numFmtId="0" fontId="4" fillId="4" borderId="2" xfId="1" applyFont="1" applyFill="1" applyBorder="1" applyAlignment="1" applyProtection="1"/>
    <xf numFmtId="0" fontId="4" fillId="4" borderId="3" xfId="1" applyFont="1" applyFill="1" applyBorder="1" applyAlignment="1" applyProtection="1"/>
    <xf numFmtId="0" fontId="5" fillId="5" borderId="4" xfId="1" applyFont="1" applyBorder="1" applyAlignment="1" applyProtection="1"/>
    <xf numFmtId="0" fontId="5" fillId="5" borderId="5" xfId="1" applyBorder="1" applyAlignment="1" applyProtection="1"/>
    <xf numFmtId="0" fontId="5" fillId="5" borderId="1" xfId="1" applyAlignment="1" applyProtection="1"/>
    <xf numFmtId="0" fontId="5" fillId="5" borderId="7" xfId="1" applyBorder="1" applyAlignment="1" applyProtection="1"/>
    <xf numFmtId="0" fontId="5" fillId="5" borderId="6" xfId="1" applyFont="1" applyBorder="1" applyAlignment="1" applyProtection="1"/>
    <xf numFmtId="0" fontId="5" fillId="5" borderId="8" xfId="1" applyBorder="1" applyAlignment="1" applyProtection="1"/>
    <xf numFmtId="0" fontId="5" fillId="5" borderId="2" xfId="1" applyFont="1" applyBorder="1" applyAlignment="1" applyProtection="1"/>
    <xf numFmtId="0" fontId="5" fillId="5" borderId="3" xfId="1" applyFont="1" applyBorder="1" applyAlignment="1" applyProtection="1"/>
    <xf numFmtId="0" fontId="5" fillId="5" borderId="9" xfId="1" applyBorder="1" applyAlignment="1" applyProtection="1"/>
    <xf numFmtId="2" fontId="3" fillId="3" borderId="2" xfId="1" applyNumberFormat="1" applyFont="1" applyFill="1" applyBorder="1" applyAlignment="1" applyProtection="1"/>
    <xf numFmtId="2" fontId="0" fillId="0" borderId="2" xfId="0" applyNumberFormat="1" applyBorder="1"/>
    <xf numFmtId="0" fontId="2" fillId="2" borderId="0" xfId="1" applyFont="1" applyFill="1" applyBorder="1" applyAlignment="1" applyProtection="1"/>
    <xf numFmtId="0" fontId="3" fillId="3" borderId="0" xfId="1" applyFont="1" applyFill="1" applyBorder="1" applyAlignment="1" applyProtection="1"/>
    <xf numFmtId="0" fontId="4" fillId="4" borderId="0" xfId="1" applyFont="1" applyFill="1" applyBorder="1" applyAlignment="1" applyProtection="1"/>
    <xf numFmtId="0" fontId="5" fillId="5" borderId="0" xfId="1" applyBorder="1" applyAlignment="1" applyProtection="1"/>
    <xf numFmtId="0" fontId="4" fillId="4" borderId="0" xfId="0" applyFont="1" applyFill="1"/>
    <xf numFmtId="0" fontId="5" fillId="5" borderId="0" xfId="1" applyFont="1" applyBorder="1" applyAlignment="1" applyProtection="1"/>
    <xf numFmtId="164" fontId="0" fillId="0" borderId="0" xfId="0" applyNumberFormat="1"/>
    <xf numFmtId="164" fontId="6" fillId="6" borderId="0" xfId="2" applyNumberFormat="1"/>
    <xf numFmtId="164" fontId="8" fillId="8" borderId="0" xfId="4" applyNumberFormat="1"/>
    <xf numFmtId="0" fontId="8" fillId="8" borderId="0" xfId="4"/>
    <xf numFmtId="0" fontId="5" fillId="5" borderId="1" xfId="1"/>
    <xf numFmtId="0" fontId="7" fillId="7" borderId="0" xfId="3"/>
    <xf numFmtId="16" fontId="7" fillId="7" borderId="0" xfId="3" applyNumberFormat="1"/>
    <xf numFmtId="2" fontId="0" fillId="0" borderId="0" xfId="0" applyNumberFormat="1"/>
    <xf numFmtId="2" fontId="6" fillId="6" borderId="0" xfId="2" applyNumberFormat="1"/>
    <xf numFmtId="2" fontId="9" fillId="9" borderId="1" xfId="5" applyNumberFormat="1"/>
    <xf numFmtId="1" fontId="0" fillId="0" borderId="0" xfId="0" applyNumberFormat="1"/>
    <xf numFmtId="0" fontId="1" fillId="11" borderId="2" xfId="19" applyBorder="1" applyAlignment="1" applyProtection="1"/>
    <xf numFmtId="0" fontId="1" fillId="11" borderId="0" xfId="19" applyBorder="1" applyAlignment="1" applyProtection="1"/>
    <xf numFmtId="0" fontId="1" fillId="11" borderId="6" xfId="19" applyBorder="1" applyAlignment="1" applyProtection="1"/>
    <xf numFmtId="0" fontId="3" fillId="3" borderId="10" xfId="1" applyFont="1" applyFill="1" applyBorder="1" applyAlignment="1" applyProtection="1"/>
    <xf numFmtId="0" fontId="2" fillId="2" borderId="10" xfId="1" applyFont="1" applyFill="1" applyBorder="1" applyAlignment="1" applyProtection="1"/>
    <xf numFmtId="0" fontId="1" fillId="11" borderId="4" xfId="19" applyBorder="1" applyAlignment="1" applyProtection="1"/>
    <xf numFmtId="0" fontId="1" fillId="11" borderId="5" xfId="19" applyBorder="1" applyAlignment="1" applyProtection="1"/>
    <xf numFmtId="0" fontId="1" fillId="11" borderId="11" xfId="19" applyBorder="1" applyAlignment="1" applyProtection="1"/>
    <xf numFmtId="0" fontId="1" fillId="11" borderId="12" xfId="19" applyBorder="1" applyAlignment="1" applyProtection="1"/>
    <xf numFmtId="0" fontId="1" fillId="11" borderId="13" xfId="19" applyBorder="1" applyAlignment="1" applyProtection="1"/>
    <xf numFmtId="0" fontId="1" fillId="11" borderId="14" xfId="19" applyBorder="1" applyAlignment="1" applyProtection="1"/>
    <xf numFmtId="0" fontId="1" fillId="11" borderId="15" xfId="19" applyBorder="1" applyAlignment="1" applyProtection="1"/>
    <xf numFmtId="0" fontId="1" fillId="11" borderId="16" xfId="19" applyBorder="1" applyAlignment="1" applyProtection="1"/>
    <xf numFmtId="0" fontId="1" fillId="11" borderId="17" xfId="19" applyBorder="1" applyAlignment="1" applyProtection="1"/>
    <xf numFmtId="0" fontId="1" fillId="11" borderId="18" xfId="19" applyBorder="1" applyAlignment="1" applyProtection="1"/>
    <xf numFmtId="0" fontId="1" fillId="11" borderId="19" xfId="19" applyBorder="1" applyAlignment="1" applyProtection="1"/>
    <xf numFmtId="0" fontId="3" fillId="3" borderId="16" xfId="1" applyFont="1" applyFill="1" applyBorder="1" applyAlignment="1" applyProtection="1"/>
    <xf numFmtId="0" fontId="3" fillId="3" borderId="17" xfId="1" applyFont="1" applyFill="1" applyBorder="1" applyAlignment="1" applyProtection="1"/>
    <xf numFmtId="0" fontId="3" fillId="3" borderId="19" xfId="1" applyFont="1" applyFill="1" applyBorder="1" applyAlignment="1" applyProtection="1"/>
    <xf numFmtId="0" fontId="5" fillId="5" borderId="16" xfId="1" applyBorder="1" applyAlignment="1" applyProtection="1"/>
    <xf numFmtId="0" fontId="5" fillId="5" borderId="20" xfId="1" applyBorder="1" applyAlignment="1" applyProtection="1"/>
    <xf numFmtId="0" fontId="4" fillId="4" borderId="10" xfId="1" applyFont="1" applyFill="1" applyBorder="1" applyAlignment="1" applyProtection="1"/>
    <xf numFmtId="0" fontId="5" fillId="5" borderId="21" xfId="1" applyBorder="1" applyAlignment="1" applyProtection="1"/>
    <xf numFmtId="0" fontId="5" fillId="5" borderId="22" xfId="1" applyBorder="1" applyAlignment="1" applyProtection="1"/>
    <xf numFmtId="0" fontId="4" fillId="4" borderId="16" xfId="1" applyFont="1" applyFill="1" applyBorder="1" applyAlignment="1" applyProtection="1"/>
    <xf numFmtId="0" fontId="4" fillId="4" borderId="17" xfId="1" applyFont="1" applyFill="1" applyBorder="1" applyAlignment="1" applyProtection="1"/>
    <xf numFmtId="0" fontId="4" fillId="4" borderId="19" xfId="1" applyFont="1" applyFill="1" applyBorder="1" applyAlignment="1" applyProtection="1"/>
    <xf numFmtId="0" fontId="1" fillId="10" borderId="0" xfId="18"/>
    <xf numFmtId="0" fontId="1" fillId="10" borderId="0" xfId="18" applyBorder="1" applyAlignment="1" applyProtection="1"/>
    <xf numFmtId="0" fontId="1" fillId="11" borderId="3" xfId="19" applyBorder="1" applyAlignment="1" applyProtection="1"/>
    <xf numFmtId="0" fontId="12" fillId="0" borderId="0" xfId="0" applyFont="1"/>
    <xf numFmtId="0" fontId="3" fillId="3" borderId="11" xfId="1" applyFont="1" applyFill="1" applyBorder="1" applyAlignment="1" applyProtection="1"/>
    <xf numFmtId="0" fontId="0" fillId="0" borderId="0" xfId="0" applyAlignment="1">
      <alignment horizontal="center"/>
    </xf>
  </cellXfs>
  <cellStyles count="24">
    <cellStyle name="20% - Accent1" xfId="18" builtinId="30"/>
    <cellStyle name="40% - Accent1" xfId="19" builtinId="31"/>
    <cellStyle name="Bad" xfId="3" builtinId="27"/>
    <cellStyle name="Explanatory Text" xfId="1" builtinId="53" customBuilti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1" builtinId="9" hidden="1"/>
    <cellStyle name="Followed Hyperlink" xfId="23" builtinId="9" hidden="1"/>
    <cellStyle name="Good" xfId="2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20" builtinId="8" hidden="1"/>
    <cellStyle name="Hyperlink" xfId="22" builtinId="8" hidden="1"/>
    <cellStyle name="Input" xfId="5" builtinId="20"/>
    <cellStyle name="Neutral" xfId="4" builtinId="2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B3B3B3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420E"/>
      <rgbColor rgb="FF4E67C8"/>
      <rgbColor rgb="FF7F7F7F"/>
      <rgbColor rgb="FF004586"/>
      <rgbColor rgb="FF2A8A6F"/>
      <rgbColor rgb="FF003300"/>
      <rgbColor rgb="FF595959"/>
      <rgbColor rgb="FF9C1F0A"/>
      <rgbColor rgb="FF9C5700"/>
      <rgbColor rgb="FF283A7F"/>
      <rgbColor rgb="FF3F3F7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5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channels!$J$3:$J$8</c:f>
              <c:numCache>
                <c:formatCode>General</c:formatCode>
                <c:ptCount val="6"/>
                <c:pt idx="0">
                  <c:v>37.6</c:v>
                </c:pt>
                <c:pt idx="1">
                  <c:v>61.5</c:v>
                </c:pt>
                <c:pt idx="2">
                  <c:v>49.0</c:v>
                </c:pt>
                <c:pt idx="3">
                  <c:v>58.6</c:v>
                </c:pt>
                <c:pt idx="4">
                  <c:v>62.7</c:v>
                </c:pt>
                <c:pt idx="5">
                  <c:v>53.0</c:v>
                </c:pt>
              </c:numCache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channels!$L$58:$L$61</c:f>
              <c:numCache>
                <c:formatCode>General</c:formatCode>
                <c:ptCount val="4"/>
              </c:numCache>
            </c:numRef>
          </c:xVal>
          <c:yVal>
            <c:numRef>
              <c:f>channels!$L$58:$L$61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channels!$J$10:$J$13</c:f>
              <c:numCache>
                <c:formatCode>General</c:formatCode>
                <c:ptCount val="4"/>
                <c:pt idx="0">
                  <c:v>43.2</c:v>
                </c:pt>
                <c:pt idx="1">
                  <c:v>44.2</c:v>
                </c:pt>
                <c:pt idx="2">
                  <c:v>69.6</c:v>
                </c:pt>
                <c:pt idx="3">
                  <c:v>52.6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channels!$J$15:$J$18</c:f>
              <c:numCache>
                <c:formatCode>General</c:formatCode>
                <c:ptCount val="4"/>
                <c:pt idx="0">
                  <c:v>37.3</c:v>
                </c:pt>
                <c:pt idx="1">
                  <c:v>54.7</c:v>
                </c:pt>
                <c:pt idx="2">
                  <c:v>38.4</c:v>
                </c:pt>
                <c:pt idx="3">
                  <c:v>60.9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channels!$J$20:$J$25</c:f>
              <c:numCache>
                <c:formatCode>General</c:formatCode>
                <c:ptCount val="6"/>
                <c:pt idx="0">
                  <c:v>68.3</c:v>
                </c:pt>
                <c:pt idx="1">
                  <c:v>68.6</c:v>
                </c:pt>
                <c:pt idx="2">
                  <c:v>67.0</c:v>
                </c:pt>
                <c:pt idx="3">
                  <c:v>88.0</c:v>
                </c:pt>
                <c:pt idx="5">
                  <c:v>67.0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channels!$J$27:$J$31</c:f>
              <c:numCache>
                <c:formatCode>General</c:formatCode>
                <c:ptCount val="5"/>
                <c:pt idx="0">
                  <c:v>65.0</c:v>
                </c:pt>
                <c:pt idx="1">
                  <c:v>75.0</c:v>
                </c:pt>
                <c:pt idx="2">
                  <c:v>61.8</c:v>
                </c:pt>
                <c:pt idx="3">
                  <c:v>81.0</c:v>
                </c:pt>
                <c:pt idx="4">
                  <c:v>77.6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118112"/>
        <c:axId val="-763303296"/>
      </c:scatterChart>
      <c:valAx>
        <c:axId val="-763118112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303296"/>
        <c:crosses val="autoZero"/>
        <c:crossBetween val="midCat"/>
      </c:valAx>
      <c:valAx>
        <c:axId val="-763303296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11811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channels!$Y$3:$Y$8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channels!$Y$10:$Y$13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channels!$Y$15:$Y$18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channels!$Y$20:$Y$25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channels!$Y$27:$Y$31</c:f>
              <c:numCache>
                <c:formatCode>General</c:formatCode>
                <c:ptCount val="5"/>
                <c:pt idx="0">
                  <c:v>4.976851851851852</c:v>
                </c:pt>
                <c:pt idx="1">
                  <c:v>3.727642276422764</c:v>
                </c:pt>
                <c:pt idx="2">
                  <c:v>2.941176470588235</c:v>
                </c:pt>
                <c:pt idx="3">
                  <c:v>3.625</c:v>
                </c:pt>
                <c:pt idx="4">
                  <c:v>4.489795918367346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170256"/>
        <c:axId val="-763136192"/>
      </c:scatterChart>
      <c:valAx>
        <c:axId val="-763170256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136192"/>
        <c:crosses val="autoZero"/>
        <c:crossBetween val="midCat"/>
      </c:valAx>
      <c:valAx>
        <c:axId val="-763136192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763170256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histogram!$E$3:$E$14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</c:numCache>
            </c:numRef>
          </c:cat>
          <c:val>
            <c:numRef>
              <c:f>histogram!$F$3:$F$14</c:f>
              <c:numCache>
                <c:formatCode>General</c:formatCode>
                <c:ptCount val="12"/>
                <c:pt idx="0">
                  <c:v>0.0</c:v>
                </c:pt>
                <c:pt idx="1">
                  <c:v>17.0</c:v>
                </c:pt>
                <c:pt idx="2">
                  <c:v>57.0</c:v>
                </c:pt>
                <c:pt idx="3">
                  <c:v>62.0</c:v>
                </c:pt>
                <c:pt idx="4">
                  <c:v>40.0</c:v>
                </c:pt>
                <c:pt idx="5">
                  <c:v>27.0</c:v>
                </c:pt>
                <c:pt idx="6">
                  <c:v>15.0</c:v>
                </c:pt>
                <c:pt idx="7">
                  <c:v>6.0</c:v>
                </c:pt>
                <c:pt idx="8">
                  <c:v>5.0</c:v>
                </c:pt>
                <c:pt idx="9">
                  <c:v>2.0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25016192"/>
        <c:axId val="-799757104"/>
      </c:barChart>
      <c:catAx>
        <c:axId val="-3250161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9757104"/>
        <c:crosses val="autoZero"/>
        <c:auto val="1"/>
        <c:lblAlgn val="ctr"/>
        <c:lblOffset val="100"/>
        <c:noMultiLvlLbl val="1"/>
      </c:catAx>
      <c:valAx>
        <c:axId val="-79975710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5016192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histogram!$H$4:$H$16</c:f>
              <c:numCache>
                <c:formatCode>General</c:formatCode>
                <c:ptCount val="13"/>
                <c:pt idx="0">
                  <c:v>15.0</c:v>
                </c:pt>
                <c:pt idx="1">
                  <c:v>30.0</c:v>
                </c:pt>
                <c:pt idx="2">
                  <c:v>45.0</c:v>
                </c:pt>
                <c:pt idx="3">
                  <c:v>60.0</c:v>
                </c:pt>
                <c:pt idx="4">
                  <c:v>75.0</c:v>
                </c:pt>
                <c:pt idx="5">
                  <c:v>90.0</c:v>
                </c:pt>
                <c:pt idx="6">
                  <c:v>105.0</c:v>
                </c:pt>
                <c:pt idx="7">
                  <c:v>120.0</c:v>
                </c:pt>
                <c:pt idx="8">
                  <c:v>135.0</c:v>
                </c:pt>
                <c:pt idx="9">
                  <c:v>150.0</c:v>
                </c:pt>
                <c:pt idx="10">
                  <c:v>165.0</c:v>
                </c:pt>
                <c:pt idx="11">
                  <c:v>180.0</c:v>
                </c:pt>
              </c:numCache>
            </c:numRef>
          </c:cat>
          <c:val>
            <c:numRef>
              <c:f>histogram!$I$4:$I$16</c:f>
              <c:numCache>
                <c:formatCode>General</c:formatCode>
                <c:ptCount val="13"/>
                <c:pt idx="0">
                  <c:v>58.0</c:v>
                </c:pt>
                <c:pt idx="1">
                  <c:v>61.0</c:v>
                </c:pt>
                <c:pt idx="2">
                  <c:v>30.0</c:v>
                </c:pt>
                <c:pt idx="3">
                  <c:v>19.0</c:v>
                </c:pt>
                <c:pt idx="4">
                  <c:v>17.0</c:v>
                </c:pt>
                <c:pt idx="5">
                  <c:v>12.0</c:v>
                </c:pt>
                <c:pt idx="6">
                  <c:v>13.0</c:v>
                </c:pt>
                <c:pt idx="7">
                  <c:v>8.0</c:v>
                </c:pt>
                <c:pt idx="8">
                  <c:v>5.0</c:v>
                </c:pt>
                <c:pt idx="9">
                  <c:v>4.0</c:v>
                </c:pt>
                <c:pt idx="10">
                  <c:v>2.0</c:v>
                </c:pt>
                <c:pt idx="1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25052432"/>
        <c:axId val="-325048976"/>
      </c:barChart>
      <c:catAx>
        <c:axId val="-3250524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5048976"/>
        <c:crosses val="autoZero"/>
        <c:auto val="1"/>
        <c:lblAlgn val="ctr"/>
        <c:lblOffset val="100"/>
        <c:noMultiLvlLbl val="1"/>
      </c:catAx>
      <c:valAx>
        <c:axId val="-32504897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5052432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histogram!$K$3:$K$10</c:f>
              <c:numCache>
                <c:formatCode>General</c:formatCode>
                <c:ptCount val="8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</c:numCache>
            </c:numRef>
          </c:cat>
          <c:val>
            <c:numRef>
              <c:f>histogram!$L$3:$L$10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11.0</c:v>
                </c:pt>
                <c:pt idx="3">
                  <c:v>40.0</c:v>
                </c:pt>
                <c:pt idx="4">
                  <c:v>23.0</c:v>
                </c:pt>
                <c:pt idx="5">
                  <c:v>24.0</c:v>
                </c:pt>
                <c:pt idx="6">
                  <c:v>12.0</c:v>
                </c:pt>
                <c:pt idx="7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799833248"/>
        <c:axId val="-799830128"/>
      </c:barChart>
      <c:catAx>
        <c:axId val="-7998332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9830128"/>
        <c:crosses val="autoZero"/>
        <c:auto val="1"/>
        <c:lblAlgn val="ctr"/>
        <c:lblOffset val="100"/>
        <c:noMultiLvlLbl val="1"/>
      </c:catAx>
      <c:valAx>
        <c:axId val="-79983012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9833248"/>
        <c:crosses val="autoZero"/>
        <c:crossBetween val="midCat"/>
        <c:majorUnit val="15.0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wavelength!$C$3:$C$21</c:f>
              <c:numCache>
                <c:formatCode>General</c:formatCode>
                <c:ptCount val="19"/>
                <c:pt idx="0">
                  <c:v>11.1</c:v>
                </c:pt>
                <c:pt idx="1">
                  <c:v>10.7</c:v>
                </c:pt>
                <c:pt idx="2">
                  <c:v>6.4</c:v>
                </c:pt>
                <c:pt idx="3">
                  <c:v>5.6</c:v>
                </c:pt>
                <c:pt idx="4">
                  <c:v>11.7</c:v>
                </c:pt>
                <c:pt idx="5">
                  <c:v>11.5</c:v>
                </c:pt>
                <c:pt idx="7">
                  <c:v>14.1</c:v>
                </c:pt>
                <c:pt idx="8">
                  <c:v>6.9</c:v>
                </c:pt>
                <c:pt idx="9">
                  <c:v>4.6</c:v>
                </c:pt>
                <c:pt idx="10">
                  <c:v>4.1</c:v>
                </c:pt>
                <c:pt idx="11">
                  <c:v>8.4</c:v>
                </c:pt>
                <c:pt idx="12">
                  <c:v>7.1</c:v>
                </c:pt>
                <c:pt idx="13">
                  <c:v>15.4</c:v>
                </c:pt>
                <c:pt idx="15">
                  <c:v>12.9</c:v>
                </c:pt>
                <c:pt idx="16">
                  <c:v>9.8</c:v>
                </c:pt>
                <c:pt idx="17">
                  <c:v>7.2</c:v>
                </c:pt>
                <c:pt idx="18">
                  <c:v>4.7</c:v>
                </c:pt>
              </c:numCache>
            </c:numRef>
          </c:xVal>
          <c:yVal>
            <c:numRef>
              <c:f>wavelength!$B$3:$B$21</c:f>
              <c:numCache>
                <c:formatCode>General</c:formatCode>
                <c:ptCount val="19"/>
                <c:pt idx="0">
                  <c:v>542.0</c:v>
                </c:pt>
                <c:pt idx="1">
                  <c:v>774.0</c:v>
                </c:pt>
                <c:pt idx="2">
                  <c:v>604.0</c:v>
                </c:pt>
                <c:pt idx="3">
                  <c:v>448.0</c:v>
                </c:pt>
                <c:pt idx="4">
                  <c:v>518.0</c:v>
                </c:pt>
                <c:pt idx="5">
                  <c:v>1030.0</c:v>
                </c:pt>
                <c:pt idx="7">
                  <c:v>423.0</c:v>
                </c:pt>
                <c:pt idx="8">
                  <c:v>343.0</c:v>
                </c:pt>
                <c:pt idx="9">
                  <c:v>738.0</c:v>
                </c:pt>
                <c:pt idx="10">
                  <c:v>724.0</c:v>
                </c:pt>
                <c:pt idx="11">
                  <c:v>832.0</c:v>
                </c:pt>
                <c:pt idx="12">
                  <c:v>1100.0</c:v>
                </c:pt>
                <c:pt idx="13">
                  <c:v>881.0</c:v>
                </c:pt>
                <c:pt idx="15">
                  <c:v>390.0</c:v>
                </c:pt>
                <c:pt idx="16">
                  <c:v>834.0</c:v>
                </c:pt>
                <c:pt idx="17">
                  <c:v>415.0</c:v>
                </c:pt>
                <c:pt idx="18">
                  <c:v>1120.0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4757536"/>
        <c:axId val="-554756176"/>
      </c:scatterChart>
      <c:valAx>
        <c:axId val="-55475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756176"/>
        <c:crosses val="autoZero"/>
        <c:crossBetween val="midCat"/>
      </c:valAx>
      <c:valAx>
        <c:axId val="-55475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75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cat>
            <c:numRef>
              <c:f>wavelength!$H$5:$H$13</c:f>
              <c:numCache>
                <c:formatCode>0</c:formatCode>
                <c:ptCount val="9"/>
                <c:pt idx="0">
                  <c:v>160.0</c:v>
                </c:pt>
                <c:pt idx="1">
                  <c:v>636.888888888889</c:v>
                </c:pt>
                <c:pt idx="2">
                  <c:v>1113.777777777778</c:v>
                </c:pt>
                <c:pt idx="3">
                  <c:v>1590.666666666667</c:v>
                </c:pt>
                <c:pt idx="4">
                  <c:v>2067.555555555555</c:v>
                </c:pt>
                <c:pt idx="5">
                  <c:v>2544.444444444444</c:v>
                </c:pt>
                <c:pt idx="6">
                  <c:v>3021.333333333333</c:v>
                </c:pt>
                <c:pt idx="7">
                  <c:v>3498.222222222222</c:v>
                </c:pt>
                <c:pt idx="8">
                  <c:v>3975.11111111111</c:v>
                </c:pt>
              </c:numCache>
            </c:numRef>
          </c:cat>
          <c:val>
            <c:numRef>
              <c:f>wavelength!$I$5:$I$13</c:f>
              <c:numCache>
                <c:formatCode>0.00</c:formatCode>
                <c:ptCount val="9"/>
                <c:pt idx="0">
                  <c:v>1.0</c:v>
                </c:pt>
                <c:pt idx="1">
                  <c:v>28.0</c:v>
                </c:pt>
                <c:pt idx="2">
                  <c:v>17.0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519166816"/>
        <c:axId val="-797883872"/>
      </c:barChart>
      <c:catAx>
        <c:axId val="-51916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Wavelength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97883872"/>
        <c:crosses val="autoZero"/>
        <c:auto val="1"/>
        <c:lblAlgn val="ctr"/>
        <c:lblOffset val="100"/>
        <c:noMultiLvlLbl val="0"/>
      </c:catAx>
      <c:valAx>
        <c:axId val="-7978838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519166816"/>
        <c:crosses val="autoZero"/>
        <c:crossBetween val="between"/>
        <c:majorUnit val="15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5611377187"/>
          <c:y val="0.0374701036407122"/>
          <c:w val="0.820105561528687"/>
          <c:h val="0.781911595358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400.0</c:v>
                </c:pt>
                <c:pt idx="1">
                  <c:v>525.0</c:v>
                </c:pt>
                <c:pt idx="2">
                  <c:v>250.0</c:v>
                </c:pt>
                <c:pt idx="3">
                  <c:v>368.0</c:v>
                </c:pt>
                <c:pt idx="4">
                  <c:v>456.0</c:v>
                </c:pt>
                <c:pt idx="5">
                  <c:v>211.0</c:v>
                </c:pt>
                <c:pt idx="6">
                  <c:v>278.0</c:v>
                </c:pt>
                <c:pt idx="7">
                  <c:v>196.0</c:v>
                </c:pt>
                <c:pt idx="8">
                  <c:v>164.0</c:v>
                </c:pt>
                <c:pt idx="9">
                  <c:v>244.0</c:v>
                </c:pt>
                <c:pt idx="10">
                  <c:v>20.0</c:v>
                </c:pt>
                <c:pt idx="11">
                  <c:v>407.0</c:v>
                </c:pt>
                <c:pt idx="12">
                  <c:v>379.0</c:v>
                </c:pt>
                <c:pt idx="13">
                  <c:v>569.0</c:v>
                </c:pt>
                <c:pt idx="14">
                  <c:v>774.0</c:v>
                </c:pt>
                <c:pt idx="16">
                  <c:v>279.0</c:v>
                </c:pt>
                <c:pt idx="17">
                  <c:v>307.0</c:v>
                </c:pt>
                <c:pt idx="18">
                  <c:v>264.0</c:v>
                </c:pt>
                <c:pt idx="19">
                  <c:v>266.0</c:v>
                </c:pt>
                <c:pt idx="21">
                  <c:v>553.0</c:v>
                </c:pt>
                <c:pt idx="22">
                  <c:v>390.0</c:v>
                </c:pt>
                <c:pt idx="23">
                  <c:v>838.0</c:v>
                </c:pt>
                <c:pt idx="24">
                  <c:v>552.0</c:v>
                </c:pt>
                <c:pt idx="25">
                  <c:v>447.0</c:v>
                </c:pt>
                <c:pt idx="26">
                  <c:v>844.0</c:v>
                </c:pt>
                <c:pt idx="27">
                  <c:v>757.0</c:v>
                </c:pt>
                <c:pt idx="28">
                  <c:v>397.0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33.0</c:v>
                </c:pt>
                <c:pt idx="1">
                  <c:v>130.0</c:v>
                </c:pt>
                <c:pt idx="2">
                  <c:v>3.0</c:v>
                </c:pt>
                <c:pt idx="3">
                  <c:v>20.0</c:v>
                </c:pt>
                <c:pt idx="4">
                  <c:v>16.5</c:v>
                </c:pt>
                <c:pt idx="5">
                  <c:v>2.0</c:v>
                </c:pt>
                <c:pt idx="6">
                  <c:v>22.0</c:v>
                </c:pt>
                <c:pt idx="7">
                  <c:v>16.0</c:v>
                </c:pt>
                <c:pt idx="8">
                  <c:v>19.0</c:v>
                </c:pt>
                <c:pt idx="9">
                  <c:v>21.0</c:v>
                </c:pt>
                <c:pt idx="10">
                  <c:v>5.0</c:v>
                </c:pt>
                <c:pt idx="11">
                  <c:v>51.0</c:v>
                </c:pt>
                <c:pt idx="12">
                  <c:v>90.0</c:v>
                </c:pt>
                <c:pt idx="13">
                  <c:v>100.0</c:v>
                </c:pt>
                <c:pt idx="14">
                  <c:v>84.0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7.0</c:v>
                </c:pt>
                <c:pt idx="21">
                  <c:v>75.0</c:v>
                </c:pt>
                <c:pt idx="22">
                  <c:v>86.0</c:v>
                </c:pt>
                <c:pt idx="23">
                  <c:v>116.0</c:v>
                </c:pt>
                <c:pt idx="24">
                  <c:v>72.0</c:v>
                </c:pt>
                <c:pt idx="25">
                  <c:v>50.0</c:v>
                </c:pt>
                <c:pt idx="26">
                  <c:v>103.0</c:v>
                </c:pt>
                <c:pt idx="27">
                  <c:v>53.0</c:v>
                </c:pt>
                <c:pt idx="28">
                  <c:v>27.0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251.0</c:v>
                </c:pt>
                <c:pt idx="1">
                  <c:v>315.0</c:v>
                </c:pt>
                <c:pt idx="2">
                  <c:v>324.0</c:v>
                </c:pt>
                <c:pt idx="3">
                  <c:v>443.0</c:v>
                </c:pt>
                <c:pt idx="4">
                  <c:v>305.0</c:v>
                </c:pt>
                <c:pt idx="5">
                  <c:v>192.0</c:v>
                </c:pt>
                <c:pt idx="6">
                  <c:v>404.0</c:v>
                </c:pt>
                <c:pt idx="7">
                  <c:v>380.0</c:v>
                </c:pt>
                <c:pt idx="8">
                  <c:v>271.0</c:v>
                </c:pt>
                <c:pt idx="9">
                  <c:v>217.0</c:v>
                </c:pt>
                <c:pt idx="10">
                  <c:v>242.0</c:v>
                </c:pt>
                <c:pt idx="11">
                  <c:v>271.0</c:v>
                </c:pt>
                <c:pt idx="12">
                  <c:v>307.0</c:v>
                </c:pt>
                <c:pt idx="13">
                  <c:v>368.0</c:v>
                </c:pt>
                <c:pt idx="14">
                  <c:v>328.0</c:v>
                </c:pt>
                <c:pt idx="15">
                  <c:v>292.0</c:v>
                </c:pt>
                <c:pt idx="16">
                  <c:v>276.0</c:v>
                </c:pt>
                <c:pt idx="17">
                  <c:v>294.0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11.0</c:v>
                </c:pt>
                <c:pt idx="1">
                  <c:v>29.0</c:v>
                </c:pt>
                <c:pt idx="2">
                  <c:v>16.0</c:v>
                </c:pt>
                <c:pt idx="3">
                  <c:v>30.0</c:v>
                </c:pt>
                <c:pt idx="4">
                  <c:v>17.0</c:v>
                </c:pt>
                <c:pt idx="5">
                  <c:v>16.0</c:v>
                </c:pt>
                <c:pt idx="6">
                  <c:v>71.0</c:v>
                </c:pt>
                <c:pt idx="7">
                  <c:v>78.0</c:v>
                </c:pt>
                <c:pt idx="8">
                  <c:v>44.0</c:v>
                </c:pt>
                <c:pt idx="9">
                  <c:v>24.0</c:v>
                </c:pt>
                <c:pt idx="10">
                  <c:v>15.0</c:v>
                </c:pt>
                <c:pt idx="11">
                  <c:v>18.0</c:v>
                </c:pt>
                <c:pt idx="12">
                  <c:v>11.0</c:v>
                </c:pt>
                <c:pt idx="13">
                  <c:v>48.0</c:v>
                </c:pt>
                <c:pt idx="14">
                  <c:v>43.0</c:v>
                </c:pt>
                <c:pt idx="15">
                  <c:v>32.0</c:v>
                </c:pt>
                <c:pt idx="16">
                  <c:v>27.0</c:v>
                </c:pt>
                <c:pt idx="17">
                  <c:v>10.0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1230.0</c:v>
                </c:pt>
                <c:pt idx="1">
                  <c:v>658.0</c:v>
                </c:pt>
                <c:pt idx="2">
                  <c:v>666.0</c:v>
                </c:pt>
                <c:pt idx="3">
                  <c:v>400.0</c:v>
                </c:pt>
                <c:pt idx="4">
                  <c:v>513.0</c:v>
                </c:pt>
                <c:pt idx="5">
                  <c:v>507.0</c:v>
                </c:pt>
                <c:pt idx="6">
                  <c:v>261.0</c:v>
                </c:pt>
                <c:pt idx="7">
                  <c:v>291.0</c:v>
                </c:pt>
                <c:pt idx="8">
                  <c:v>502.0</c:v>
                </c:pt>
                <c:pt idx="9">
                  <c:v>388.0</c:v>
                </c:pt>
                <c:pt idx="10">
                  <c:v>440.0</c:v>
                </c:pt>
                <c:pt idx="11">
                  <c:v>1450.0</c:v>
                </c:pt>
                <c:pt idx="12">
                  <c:v>1170.0</c:v>
                </c:pt>
                <c:pt idx="13">
                  <c:v>319.0</c:v>
                </c:pt>
                <c:pt idx="14">
                  <c:v>290.0</c:v>
                </c:pt>
                <c:pt idx="15">
                  <c:v>192.0</c:v>
                </c:pt>
                <c:pt idx="16">
                  <c:v>260.0</c:v>
                </c:pt>
                <c:pt idx="17">
                  <c:v>185.0</c:v>
                </c:pt>
                <c:pt idx="18">
                  <c:v>285.0</c:v>
                </c:pt>
                <c:pt idx="19">
                  <c:v>181.0</c:v>
                </c:pt>
                <c:pt idx="20">
                  <c:v>172.0</c:v>
                </c:pt>
                <c:pt idx="21">
                  <c:v>134.0</c:v>
                </c:pt>
                <c:pt idx="22">
                  <c:v>124.0</c:v>
                </c:pt>
                <c:pt idx="23">
                  <c:v>205.0</c:v>
                </c:pt>
                <c:pt idx="24">
                  <c:v>268.0</c:v>
                </c:pt>
                <c:pt idx="25">
                  <c:v>452.0</c:v>
                </c:pt>
                <c:pt idx="26">
                  <c:v>286.0</c:v>
                </c:pt>
                <c:pt idx="27">
                  <c:v>700.0</c:v>
                </c:pt>
                <c:pt idx="28">
                  <c:v>496.0</c:v>
                </c:pt>
                <c:pt idx="29">
                  <c:v>304.0</c:v>
                </c:pt>
                <c:pt idx="30">
                  <c:v>194.0</c:v>
                </c:pt>
                <c:pt idx="31">
                  <c:v>209.0</c:v>
                </c:pt>
                <c:pt idx="32">
                  <c:v>213.0</c:v>
                </c:pt>
                <c:pt idx="33">
                  <c:v>126.0</c:v>
                </c:pt>
                <c:pt idx="34">
                  <c:v>111.0</c:v>
                </c:pt>
                <c:pt idx="35">
                  <c:v>241.0</c:v>
                </c:pt>
                <c:pt idx="36">
                  <c:v>142.0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170.0</c:v>
                </c:pt>
                <c:pt idx="1">
                  <c:v>71.0</c:v>
                </c:pt>
                <c:pt idx="2">
                  <c:v>108.0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29.0</c:v>
                </c:pt>
                <c:pt idx="7">
                  <c:v>56.0</c:v>
                </c:pt>
                <c:pt idx="8">
                  <c:v>59.0</c:v>
                </c:pt>
                <c:pt idx="9">
                  <c:v>46.0</c:v>
                </c:pt>
                <c:pt idx="10">
                  <c:v>65.0</c:v>
                </c:pt>
                <c:pt idx="11">
                  <c:v>93.0</c:v>
                </c:pt>
                <c:pt idx="12">
                  <c:v>99.0</c:v>
                </c:pt>
                <c:pt idx="13">
                  <c:v>10.0</c:v>
                </c:pt>
                <c:pt idx="14">
                  <c:v>60.0</c:v>
                </c:pt>
                <c:pt idx="15">
                  <c:v>37.0</c:v>
                </c:pt>
                <c:pt idx="16">
                  <c:v>9.0</c:v>
                </c:pt>
                <c:pt idx="17">
                  <c:v>13.0</c:v>
                </c:pt>
                <c:pt idx="18">
                  <c:v>59.0</c:v>
                </c:pt>
                <c:pt idx="19">
                  <c:v>21.0</c:v>
                </c:pt>
                <c:pt idx="20">
                  <c:v>36.0</c:v>
                </c:pt>
                <c:pt idx="21">
                  <c:v>32.0</c:v>
                </c:pt>
                <c:pt idx="22">
                  <c:v>22.0</c:v>
                </c:pt>
                <c:pt idx="23">
                  <c:v>22.0</c:v>
                </c:pt>
                <c:pt idx="24">
                  <c:v>48.0</c:v>
                </c:pt>
                <c:pt idx="25">
                  <c:v>69.0</c:v>
                </c:pt>
                <c:pt idx="26">
                  <c:v>33.0</c:v>
                </c:pt>
                <c:pt idx="27">
                  <c:v>118.0</c:v>
                </c:pt>
                <c:pt idx="28">
                  <c:v>102.0</c:v>
                </c:pt>
                <c:pt idx="29">
                  <c:v>29.0</c:v>
                </c:pt>
                <c:pt idx="30">
                  <c:v>36.0</c:v>
                </c:pt>
                <c:pt idx="31">
                  <c:v>35.0</c:v>
                </c:pt>
                <c:pt idx="32">
                  <c:v>34.0</c:v>
                </c:pt>
                <c:pt idx="33">
                  <c:v>23.0</c:v>
                </c:pt>
                <c:pt idx="34">
                  <c:v>14.0</c:v>
                </c:pt>
                <c:pt idx="35">
                  <c:v>41.0</c:v>
                </c:pt>
                <c:pt idx="36">
                  <c:v>15.0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328.0</c:v>
                </c:pt>
                <c:pt idx="1">
                  <c:v>170.0</c:v>
                </c:pt>
                <c:pt idx="2">
                  <c:v>197.0</c:v>
                </c:pt>
                <c:pt idx="3">
                  <c:v>194.0</c:v>
                </c:pt>
                <c:pt idx="4">
                  <c:v>166.0</c:v>
                </c:pt>
                <c:pt idx="5">
                  <c:v>183.0</c:v>
                </c:pt>
                <c:pt idx="6">
                  <c:v>89.0</c:v>
                </c:pt>
                <c:pt idx="7">
                  <c:v>81.0</c:v>
                </c:pt>
                <c:pt idx="8">
                  <c:v>97.0</c:v>
                </c:pt>
                <c:pt idx="9">
                  <c:v>120.0</c:v>
                </c:pt>
                <c:pt idx="10">
                  <c:v>113.0</c:v>
                </c:pt>
                <c:pt idx="11">
                  <c:v>82.0</c:v>
                </c:pt>
                <c:pt idx="12">
                  <c:v>91.0</c:v>
                </c:pt>
                <c:pt idx="13">
                  <c:v>115.0</c:v>
                </c:pt>
                <c:pt idx="14">
                  <c:v>114.0</c:v>
                </c:pt>
                <c:pt idx="15">
                  <c:v>106.0</c:v>
                </c:pt>
                <c:pt idx="16">
                  <c:v>139.0</c:v>
                </c:pt>
                <c:pt idx="17">
                  <c:v>187.0</c:v>
                </c:pt>
                <c:pt idx="18">
                  <c:v>97.0</c:v>
                </c:pt>
                <c:pt idx="19">
                  <c:v>300.0</c:v>
                </c:pt>
                <c:pt idx="20">
                  <c:v>291.0</c:v>
                </c:pt>
                <c:pt idx="21">
                  <c:v>160.0</c:v>
                </c:pt>
                <c:pt idx="22">
                  <c:v>140.0</c:v>
                </c:pt>
                <c:pt idx="23">
                  <c:v>102.0</c:v>
                </c:pt>
                <c:pt idx="24">
                  <c:v>130.0</c:v>
                </c:pt>
                <c:pt idx="25">
                  <c:v>122.0</c:v>
                </c:pt>
                <c:pt idx="26">
                  <c:v>296.0</c:v>
                </c:pt>
                <c:pt idx="27">
                  <c:v>257.0</c:v>
                </c:pt>
                <c:pt idx="28">
                  <c:v>236.0</c:v>
                </c:pt>
                <c:pt idx="29">
                  <c:v>210.0</c:v>
                </c:pt>
                <c:pt idx="30">
                  <c:v>201.0</c:v>
                </c:pt>
                <c:pt idx="31">
                  <c:v>156.0</c:v>
                </c:pt>
                <c:pt idx="32">
                  <c:v>155.0</c:v>
                </c:pt>
                <c:pt idx="33">
                  <c:v>128.0</c:v>
                </c:pt>
                <c:pt idx="34">
                  <c:v>90.0</c:v>
                </c:pt>
                <c:pt idx="35">
                  <c:v>170.0</c:v>
                </c:pt>
                <c:pt idx="36">
                  <c:v>212.0</c:v>
                </c:pt>
                <c:pt idx="37">
                  <c:v>107.0</c:v>
                </c:pt>
                <c:pt idx="38">
                  <c:v>197.0</c:v>
                </c:pt>
                <c:pt idx="39">
                  <c:v>146.0</c:v>
                </c:pt>
                <c:pt idx="40">
                  <c:v>111.0</c:v>
                </c:pt>
                <c:pt idx="41">
                  <c:v>90.0</c:v>
                </c:pt>
                <c:pt idx="42">
                  <c:v>386.0</c:v>
                </c:pt>
                <c:pt idx="43">
                  <c:v>390.0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60.0</c:v>
                </c:pt>
                <c:pt idx="1">
                  <c:v>43.0</c:v>
                </c:pt>
                <c:pt idx="2">
                  <c:v>38.0</c:v>
                </c:pt>
                <c:pt idx="3">
                  <c:v>19.0</c:v>
                </c:pt>
                <c:pt idx="4">
                  <c:v>10.0</c:v>
                </c:pt>
                <c:pt idx="5">
                  <c:v>29.0</c:v>
                </c:pt>
                <c:pt idx="6">
                  <c:v>9.0</c:v>
                </c:pt>
                <c:pt idx="7">
                  <c:v>9.0</c:v>
                </c:pt>
                <c:pt idx="8">
                  <c:v>20.0</c:v>
                </c:pt>
                <c:pt idx="9">
                  <c:v>22.0</c:v>
                </c:pt>
                <c:pt idx="10">
                  <c:v>12.0</c:v>
                </c:pt>
                <c:pt idx="11">
                  <c:v>9.0</c:v>
                </c:pt>
                <c:pt idx="12">
                  <c:v>18.0</c:v>
                </c:pt>
                <c:pt idx="13">
                  <c:v>14.0</c:v>
                </c:pt>
                <c:pt idx="14">
                  <c:v>19.0</c:v>
                </c:pt>
                <c:pt idx="15">
                  <c:v>28.0</c:v>
                </c:pt>
                <c:pt idx="16">
                  <c:v>7.0</c:v>
                </c:pt>
                <c:pt idx="17">
                  <c:v>36.0</c:v>
                </c:pt>
                <c:pt idx="18">
                  <c:v>12.0</c:v>
                </c:pt>
                <c:pt idx="19">
                  <c:v>62.0</c:v>
                </c:pt>
                <c:pt idx="20">
                  <c:v>41.0</c:v>
                </c:pt>
                <c:pt idx="21">
                  <c:v>37.0</c:v>
                </c:pt>
                <c:pt idx="22">
                  <c:v>41.0</c:v>
                </c:pt>
                <c:pt idx="23">
                  <c:v>14.1</c:v>
                </c:pt>
                <c:pt idx="24">
                  <c:v>7.0</c:v>
                </c:pt>
                <c:pt idx="25">
                  <c:v>5.0</c:v>
                </c:pt>
                <c:pt idx="26">
                  <c:v>77.0</c:v>
                </c:pt>
                <c:pt idx="27">
                  <c:v>80.0</c:v>
                </c:pt>
                <c:pt idx="28">
                  <c:v>70.0</c:v>
                </c:pt>
                <c:pt idx="29">
                  <c:v>63.0</c:v>
                </c:pt>
                <c:pt idx="30">
                  <c:v>62.0</c:v>
                </c:pt>
                <c:pt idx="31">
                  <c:v>34.0</c:v>
                </c:pt>
                <c:pt idx="32">
                  <c:v>40.0</c:v>
                </c:pt>
                <c:pt idx="33">
                  <c:v>30.0</c:v>
                </c:pt>
                <c:pt idx="34">
                  <c:v>19.0</c:v>
                </c:pt>
                <c:pt idx="35">
                  <c:v>40.0</c:v>
                </c:pt>
                <c:pt idx="36">
                  <c:v>53.0</c:v>
                </c:pt>
                <c:pt idx="37">
                  <c:v>24.0</c:v>
                </c:pt>
                <c:pt idx="38">
                  <c:v>37.0</c:v>
                </c:pt>
                <c:pt idx="39">
                  <c:v>20.0</c:v>
                </c:pt>
                <c:pt idx="40">
                  <c:v>18.0</c:v>
                </c:pt>
                <c:pt idx="41">
                  <c:v>20.0</c:v>
                </c:pt>
                <c:pt idx="42">
                  <c:v>64.0</c:v>
                </c:pt>
                <c:pt idx="43">
                  <c:v>41.0</c:v>
                </c:pt>
              </c:numCache>
            </c:numRef>
          </c:yVal>
          <c:smooth val="0"/>
        </c:ser>
        <c:ser>
          <c:idx val="5"/>
          <c:order val="5"/>
          <c:tx>
            <c:v>Our Topography</c:v>
          </c:tx>
          <c:spPr>
            <a:ln w="31750">
              <a:noFill/>
            </a:ln>
          </c:spPr>
          <c:marker>
            <c:symbol val="diamond"/>
            <c:size val="9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ymbol val="diamond"/>
              <c:size val="10"/>
            </c:marker>
            <c:bubble3D val="0"/>
          </c:dPt>
          <c:dPt>
            <c:idx val="1"/>
            <c:marker>
              <c:symbol val="diamond"/>
              <c:size val="10"/>
            </c:marker>
            <c:bubble3D val="0"/>
          </c:dPt>
          <c:dPt>
            <c:idx val="2"/>
            <c:marker>
              <c:symbol val="diamond"/>
              <c:size val="10"/>
              <c:spPr>
                <a:solidFill>
                  <a:srgbClr val="FFFFFF"/>
                </a:solidFill>
                <a:ln w="12700"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charts!$C$48:$C$50</c:f>
              <c:numCache>
                <c:formatCode>General</c:formatCode>
                <c:ptCount val="3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</c:numCache>
            </c:numRef>
          </c:xVal>
          <c:yVal>
            <c:numRef>
              <c:f>charts!$D$48:$D$50</c:f>
              <c:numCache>
                <c:formatCode>General</c:formatCode>
                <c:ptCount val="3"/>
                <c:pt idx="0">
                  <c:v>15.0</c:v>
                </c:pt>
                <c:pt idx="1">
                  <c:v>27.0</c:v>
                </c:pt>
                <c:pt idx="2">
                  <c:v>39.0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0315552"/>
        <c:axId val="-800180480"/>
      </c:scatterChart>
      <c:valAx>
        <c:axId val="-800315552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44208777245626"/>
              <c:y val="0.88466648950305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00180480"/>
        <c:crosses val="autoZero"/>
        <c:crossBetween val="midCat"/>
      </c:valAx>
      <c:valAx>
        <c:axId val="-800180480"/>
        <c:scaling>
          <c:logBase val="10.0"/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1542328464517"/>
              <c:y val="0.294415351753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0031555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706801518202194"/>
          <c:y val="0.416795040899292"/>
          <c:w val="0.199275607574434"/>
          <c:h val="0.357467196897363"/>
        </c:manualLayout>
      </c:layout>
      <c:overlay val="0"/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channels!$Q$3:$Q$8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channels!$Q$10:$Q$13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channels!$Q$15:$Q$18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channels!$Q$20:$Q$25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channels!$Q$27:$Q$31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ser>
          <c:idx val="5"/>
          <c:order val="5"/>
          <c:tx>
            <c:v>Our Topography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(charts!$X$55,charts!$X$57,charts!$X$59:$X$61)</c:f>
              <c:numCache>
                <c:formatCode>General</c:formatCode>
                <c:ptCount val="5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</c:numCache>
            </c:numRef>
          </c:xVal>
          <c:yVal>
            <c:numRef>
              <c:f>(charts!$Y$55,charts!$Y$57,charts!$Y$59:$Y$61)</c:f>
              <c:numCache>
                <c:formatCode>General</c:formatCode>
                <c:ptCount val="5"/>
                <c:pt idx="0">
                  <c:v>300.0</c:v>
                </c:pt>
                <c:pt idx="1">
                  <c:v>600.0</c:v>
                </c:pt>
                <c:pt idx="2">
                  <c:v>2400.0</c:v>
                </c:pt>
                <c:pt idx="3">
                  <c:v>900.0</c:v>
                </c:pt>
                <c:pt idx="4">
                  <c:v>1200.0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3625728"/>
        <c:axId val="-763249712"/>
      </c:scatterChart>
      <c:valAx>
        <c:axId val="-323625728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Slope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249712"/>
        <c:crosses val="autoZero"/>
        <c:crossBetween val="midCat"/>
      </c:valAx>
      <c:valAx>
        <c:axId val="-763249712"/>
        <c:scaling>
          <c:logBase val="10.0"/>
          <c:orientation val="minMax"/>
          <c:min val="1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Wavelength</a:t>
                </a:r>
              </a:p>
            </c:rich>
          </c:tx>
          <c:layout>
            <c:manualLayout>
              <c:xMode val="edge"/>
              <c:yMode val="edge"/>
              <c:x val="0.016355455568054"/>
              <c:y val="0.3130871564120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362572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(channels!$Q$3:$Q$8,channels!$T$3:$T$8)</c:f>
              <c:numCache>
                <c:formatCode>General</c:formatCode>
                <c:ptCount val="12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  <c:pt idx="6">
                  <c:v>334.0</c:v>
                </c:pt>
                <c:pt idx="7">
                  <c:v>554.0</c:v>
                </c:pt>
                <c:pt idx="8">
                  <c:v>288.5</c:v>
                </c:pt>
                <c:pt idx="9">
                  <c:v>465.6666666666666</c:v>
                </c:pt>
                <c:pt idx="10">
                  <c:v>447.0</c:v>
                </c:pt>
                <c:pt idx="11">
                  <c:v>743.0</c:v>
                </c:pt>
              </c:numCache>
            </c:numRef>
          </c:xVal>
          <c:yVal>
            <c:numRef>
              <c:f>(channels!$R$3:$R$8,channels!$U$3:$U$8)</c:f>
              <c:numCache>
                <c:formatCode>General</c:formatCode>
                <c:ptCount val="12"/>
                <c:pt idx="0">
                  <c:v>75.0</c:v>
                </c:pt>
                <c:pt idx="1">
                  <c:v>175.0</c:v>
                </c:pt>
                <c:pt idx="2">
                  <c:v>235.0</c:v>
                </c:pt>
                <c:pt idx="3">
                  <c:v>490.0</c:v>
                </c:pt>
                <c:pt idx="4">
                  <c:v>180.0</c:v>
                </c:pt>
                <c:pt idx="5">
                  <c:v>350.0</c:v>
                </c:pt>
                <c:pt idx="6">
                  <c:v>30.0</c:v>
                </c:pt>
                <c:pt idx="7">
                  <c:v>85.0</c:v>
                </c:pt>
                <c:pt idx="8">
                  <c:v>50.0</c:v>
                </c:pt>
                <c:pt idx="9">
                  <c:v>70.0</c:v>
                </c:pt>
                <c:pt idx="10">
                  <c:v>35.0</c:v>
                </c:pt>
                <c:pt idx="11">
                  <c:v>70.0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(channels!$Q$10:$Q$13,channels!$T$10:$T$13)</c:f>
              <c:numCache>
                <c:formatCode>General</c:formatCode>
                <c:ptCount val="8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  <c:pt idx="4">
                  <c:v>436.0</c:v>
                </c:pt>
                <c:pt idx="5">
                  <c:v>182.0</c:v>
                </c:pt>
                <c:pt idx="6">
                  <c:v>261.0</c:v>
                </c:pt>
                <c:pt idx="7">
                  <c:v>815.0</c:v>
                </c:pt>
              </c:numCache>
            </c:numRef>
          </c:xVal>
          <c:yVal>
            <c:numRef>
              <c:f>(channels!$R$10:$R$13,channels!$U$10:$U$13)</c:f>
              <c:numCache>
                <c:formatCode>General</c:formatCode>
                <c:ptCount val="8"/>
                <c:pt idx="0">
                  <c:v>200.0</c:v>
                </c:pt>
                <c:pt idx="1">
                  <c:v>120.0</c:v>
                </c:pt>
                <c:pt idx="2">
                  <c:v>75.0</c:v>
                </c:pt>
                <c:pt idx="3">
                  <c:v>350.0</c:v>
                </c:pt>
                <c:pt idx="4">
                  <c:v>50.0</c:v>
                </c:pt>
                <c:pt idx="5">
                  <c:v>25.0</c:v>
                </c:pt>
                <c:pt idx="6">
                  <c:v>54.0</c:v>
                </c:pt>
                <c:pt idx="7">
                  <c:v>143.0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(channels!$Q$15:$Q$17,channels!$T$15:$T$17)</c:f>
              <c:numCache>
                <c:formatCode>General</c:formatCode>
                <c:ptCount val="6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270.0</c:v>
                </c:pt>
                <c:pt idx="5">
                  <c:v>558.0</c:v>
                </c:pt>
              </c:numCache>
            </c:numRef>
          </c:xVal>
          <c:yVal>
            <c:numRef>
              <c:f>(channels!$R$15:$R$17,channels!$U$15:$U$17)</c:f>
              <c:numCache>
                <c:formatCode>General</c:formatCode>
                <c:ptCount val="6"/>
                <c:pt idx="0">
                  <c:v>150.0</c:v>
                </c:pt>
                <c:pt idx="1">
                  <c:v>215.0</c:v>
                </c:pt>
                <c:pt idx="2">
                  <c:v>50.0</c:v>
                </c:pt>
                <c:pt idx="3">
                  <c:v>56.0</c:v>
                </c:pt>
                <c:pt idx="5">
                  <c:v>85.0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(channels!$Q$20:$Q$25,channels!$T$20:$T$25)</c:f>
              <c:numCache>
                <c:formatCode>General</c:formatCode>
                <c:ptCount val="12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  <c:pt idx="8">
                  <c:v>181.0</c:v>
                </c:pt>
                <c:pt idx="10">
                  <c:v>181.0</c:v>
                </c:pt>
                <c:pt idx="11">
                  <c:v>600.0</c:v>
                </c:pt>
              </c:numCache>
            </c:numRef>
          </c:xVal>
          <c:yVal>
            <c:numRef>
              <c:f>(channels!$R$20:$R$25,channels!$U$20:$U$25)</c:f>
              <c:numCache>
                <c:formatCode>General</c:formatCode>
                <c:ptCount val="12"/>
                <c:pt idx="0">
                  <c:v>342.0</c:v>
                </c:pt>
                <c:pt idx="1">
                  <c:v>433.0</c:v>
                </c:pt>
                <c:pt idx="2">
                  <c:v>85.0</c:v>
                </c:pt>
                <c:pt idx="3">
                  <c:v>114.0</c:v>
                </c:pt>
                <c:pt idx="4">
                  <c:v>162.0</c:v>
                </c:pt>
                <c:pt idx="5">
                  <c:v>475.0</c:v>
                </c:pt>
                <c:pt idx="8">
                  <c:v>31.0</c:v>
                </c:pt>
                <c:pt idx="10">
                  <c:v>58.0</c:v>
                </c:pt>
                <c:pt idx="11">
                  <c:v>190.0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(channels!$Q$27:$Q$31,channels!$T$27:$T$31)</c:f>
              <c:numCache>
                <c:formatCode>General</c:formatCode>
                <c:ptCount val="10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  <c:pt idx="5">
                  <c:v>216.0</c:v>
                </c:pt>
                <c:pt idx="6">
                  <c:v>246.0</c:v>
                </c:pt>
                <c:pt idx="7">
                  <c:v>238.0</c:v>
                </c:pt>
                <c:pt idx="8">
                  <c:v>160.0</c:v>
                </c:pt>
                <c:pt idx="9">
                  <c:v>245.0</c:v>
                </c:pt>
              </c:numCache>
            </c:numRef>
          </c:xVal>
          <c:yVal>
            <c:numRef>
              <c:f>(channels!$R$27:$R$31,channels!$U$27:$U$31)</c:f>
              <c:numCache>
                <c:formatCode>General</c:formatCode>
                <c:ptCount val="10"/>
                <c:pt idx="0">
                  <c:v>145.0</c:v>
                </c:pt>
                <c:pt idx="1">
                  <c:v>100.0</c:v>
                </c:pt>
                <c:pt idx="2">
                  <c:v>93.0</c:v>
                </c:pt>
                <c:pt idx="3">
                  <c:v>80.0</c:v>
                </c:pt>
                <c:pt idx="4">
                  <c:v>258.0</c:v>
                </c:pt>
                <c:pt idx="5">
                  <c:v>65.0</c:v>
                </c:pt>
                <c:pt idx="6">
                  <c:v>54.0</c:v>
                </c:pt>
                <c:pt idx="7">
                  <c:v>56.0</c:v>
                </c:pt>
                <c:pt idx="8">
                  <c:v>33.0</c:v>
                </c:pt>
                <c:pt idx="9">
                  <c:v>66.0</c:v>
                </c:pt>
              </c:numCache>
            </c:numRef>
          </c:yVal>
          <c:smooth val="0"/>
        </c:ser>
        <c:ser>
          <c:idx val="5"/>
          <c:order val="5"/>
          <c:tx>
            <c:v>our topograpy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(charts!$Y$53:$Y$61,charts!$Y$53:$Y$61,charts!$Y$53:$Y$61)</c:f>
              <c:numCache>
                <c:formatCode>General</c:formatCode>
                <c:ptCount val="27"/>
                <c:pt idx="2">
                  <c:v>300.0</c:v>
                </c:pt>
                <c:pt idx="4">
                  <c:v>600.0</c:v>
                </c:pt>
                <c:pt idx="6">
                  <c:v>2400.0</c:v>
                </c:pt>
                <c:pt idx="7">
                  <c:v>900.0</c:v>
                </c:pt>
                <c:pt idx="8">
                  <c:v>1200.0</c:v>
                </c:pt>
                <c:pt idx="11">
                  <c:v>300.0</c:v>
                </c:pt>
                <c:pt idx="13">
                  <c:v>600.0</c:v>
                </c:pt>
                <c:pt idx="15">
                  <c:v>2400.0</c:v>
                </c:pt>
                <c:pt idx="16">
                  <c:v>900.0</c:v>
                </c:pt>
                <c:pt idx="17">
                  <c:v>1200.0</c:v>
                </c:pt>
                <c:pt idx="20">
                  <c:v>300.0</c:v>
                </c:pt>
                <c:pt idx="22">
                  <c:v>600.0</c:v>
                </c:pt>
                <c:pt idx="24">
                  <c:v>2400.0</c:v>
                </c:pt>
                <c:pt idx="25">
                  <c:v>900.0</c:v>
                </c:pt>
                <c:pt idx="26">
                  <c:v>1200.0</c:v>
                </c:pt>
              </c:numCache>
            </c:numRef>
          </c:xVal>
          <c:yVal>
            <c:numRef>
              <c:f>(charts!$Z$53:$Z$61,charts!$AA$53:$AA$61,charts!$AB$53:$AB$61)</c:f>
              <c:numCache>
                <c:formatCode>General</c:formatCode>
                <c:ptCount val="27"/>
                <c:pt idx="2">
                  <c:v>27.0</c:v>
                </c:pt>
                <c:pt idx="4">
                  <c:v>54.0</c:v>
                </c:pt>
                <c:pt idx="6">
                  <c:v>216.0</c:v>
                </c:pt>
                <c:pt idx="7">
                  <c:v>81.0</c:v>
                </c:pt>
                <c:pt idx="8">
                  <c:v>108.0</c:v>
                </c:pt>
                <c:pt idx="11">
                  <c:v>45.0</c:v>
                </c:pt>
                <c:pt idx="13">
                  <c:v>90.0</c:v>
                </c:pt>
                <c:pt idx="15">
                  <c:v>360.0</c:v>
                </c:pt>
                <c:pt idx="16">
                  <c:v>135.0</c:v>
                </c:pt>
                <c:pt idx="17">
                  <c:v>180.0</c:v>
                </c:pt>
                <c:pt idx="20">
                  <c:v>60.0</c:v>
                </c:pt>
                <c:pt idx="22">
                  <c:v>120.0</c:v>
                </c:pt>
                <c:pt idx="24">
                  <c:v>480.0</c:v>
                </c:pt>
                <c:pt idx="25">
                  <c:v>180.0</c:v>
                </c:pt>
                <c:pt idx="26">
                  <c:v>240.0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2851376"/>
        <c:axId val="-762848256"/>
      </c:scatterChart>
      <c:valAx>
        <c:axId val="-762851376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2848256"/>
        <c:crosses val="autoZero"/>
        <c:crossBetween val="midCat"/>
      </c:valAx>
      <c:valAx>
        <c:axId val="-762848256"/>
        <c:scaling>
          <c:logBase val="10.0"/>
          <c:orientation val="minMax"/>
          <c:min val="1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262992048167125"/>
              <c:y val="0.260289535984848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285137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3206928"/>
        <c:axId val="-763185056"/>
      </c:scatterChart>
      <c:valAx>
        <c:axId val="-323206928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185056"/>
        <c:crosses val="autoZero"/>
        <c:crossBetween val="midCat"/>
      </c:valAx>
      <c:valAx>
        <c:axId val="-763185056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3206928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v>'Our Topography'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channels!$M$58:$M$61</c:f>
              <c:numCache>
                <c:formatCode>General</c:formatCode>
                <c:ptCount val="4"/>
              </c:numCache>
            </c:numRef>
          </c:xVal>
          <c:yVal>
            <c:numRef>
              <c:f>channels!$N$58:$N$61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xVal>
          <c:yVal>
            <c:numRef>
              <c:f>channels!$W$10:$W$13</c:f>
              <c:numCache>
                <c:formatCode>General</c:formatCode>
                <c:ptCount val="4"/>
                <c:pt idx="0">
                  <c:v>10.82434782608696</c:v>
                </c:pt>
                <c:pt idx="1">
                  <c:v>6.550769230769231</c:v>
                </c:pt>
                <c:pt idx="2">
                  <c:v>10.11363636363636</c:v>
                </c:pt>
                <c:pt idx="3">
                  <c:v>12.44827586206897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xVal>
          <c:yVal>
            <c:numRef>
              <c:f>channels!$W$15:$W$18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8.015325670498084</c:v>
                </c:pt>
                <c:pt idx="2">
                  <c:v>9.737500000000001</c:v>
                </c:pt>
                <c:pt idx="3">
                  <c:v>10.84615384615385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xVal>
          <c:yVal>
            <c:numRef>
              <c:f>channels!$W$20:$W$25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10.07158836689038</c:v>
                </c:pt>
                <c:pt idx="2">
                  <c:v>5.6</c:v>
                </c:pt>
                <c:pt idx="3">
                  <c:v>9.146551724137931</c:v>
                </c:pt>
                <c:pt idx="4">
                  <c:v>5.907103825136612</c:v>
                </c:pt>
                <c:pt idx="5">
                  <c:v>6.439429928741092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xVal>
          <c:yVal>
            <c:numRef>
              <c:f>channels!$W$27:$W$31</c:f>
              <c:numCache>
                <c:formatCode>General</c:formatCode>
                <c:ptCount val="5"/>
                <c:pt idx="0">
                  <c:v>6.379807692307692</c:v>
                </c:pt>
                <c:pt idx="1">
                  <c:v>6.655813953488372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752080"/>
        <c:axId val="-797748960"/>
      </c:scatterChart>
      <c:valAx>
        <c:axId val="-797752080"/>
        <c:scaling>
          <c:orientation val="minMax"/>
          <c:max val="1.5"/>
          <c:min val="1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Slope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48960"/>
        <c:crosses val="autoZero"/>
        <c:crossBetween val="midCat"/>
      </c:valAx>
      <c:valAx>
        <c:axId val="-79774896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Aspect Ratio</a:t>
                </a:r>
              </a:p>
            </c:rich>
          </c:tx>
          <c:layout>
            <c:manualLayout>
              <c:xMode val="edge"/>
              <c:yMode val="edge"/>
              <c:x val="0.0234948617962295"/>
              <c:y val="0.20939573826901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5208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channels!$E$3:$E$8</c:f>
              <c:numCache>
                <c:formatCode>General</c:formatCode>
                <c:ptCount val="6"/>
                <c:pt idx="0">
                  <c:v>11000.0</c:v>
                </c:pt>
                <c:pt idx="1">
                  <c:v>12700.0</c:v>
                </c:pt>
                <c:pt idx="2">
                  <c:v>14000.0</c:v>
                </c:pt>
                <c:pt idx="3">
                  <c:v>11300.0</c:v>
                </c:pt>
                <c:pt idx="4">
                  <c:v>8050.0</c:v>
                </c:pt>
                <c:pt idx="5">
                  <c:v>11000.0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channels!$E$10:$E$13</c:f>
              <c:numCache>
                <c:formatCode>General</c:formatCode>
                <c:ptCount val="4"/>
                <c:pt idx="0">
                  <c:v>9100.0</c:v>
                </c:pt>
                <c:pt idx="1">
                  <c:v>4656.0</c:v>
                </c:pt>
                <c:pt idx="2">
                  <c:v>5240.0</c:v>
                </c:pt>
                <c:pt idx="3">
                  <c:v>27200.0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channels!$E$15:$E$18</c:f>
              <c:numCache>
                <c:formatCode>General</c:formatCode>
                <c:ptCount val="4"/>
                <c:pt idx="0">
                  <c:v>5930.0</c:v>
                </c:pt>
                <c:pt idx="1">
                  <c:v>4660.0</c:v>
                </c:pt>
                <c:pt idx="2">
                  <c:v>3160.0</c:v>
                </c:pt>
                <c:pt idx="3">
                  <c:v>3400.0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channels!$E$20:$E$25</c:f>
              <c:numCache>
                <c:formatCode>General</c:formatCode>
                <c:ptCount val="6"/>
                <c:pt idx="0">
                  <c:v>7760.0</c:v>
                </c:pt>
                <c:pt idx="1">
                  <c:v>4690.0</c:v>
                </c:pt>
                <c:pt idx="2">
                  <c:v>4560.0</c:v>
                </c:pt>
                <c:pt idx="3">
                  <c:v>2440.0</c:v>
                </c:pt>
                <c:pt idx="4">
                  <c:v>2940.0</c:v>
                </c:pt>
                <c:pt idx="5">
                  <c:v>3370.0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channels!$E$27:$E$31</c:f>
              <c:numCache>
                <c:formatCode>General</c:formatCode>
                <c:ptCount val="5"/>
                <c:pt idx="0">
                  <c:v>3290.0</c:v>
                </c:pt>
                <c:pt idx="1">
                  <c:v>3030.0</c:v>
                </c:pt>
                <c:pt idx="2">
                  <c:v>2800.0</c:v>
                </c:pt>
                <c:pt idx="3">
                  <c:v>2043.0</c:v>
                </c:pt>
                <c:pt idx="4">
                  <c:v>2950.0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764176"/>
        <c:axId val="-519089088"/>
      </c:scatterChart>
      <c:valAx>
        <c:axId val="-797764176"/>
        <c:scaling>
          <c:orientation val="minMax"/>
          <c:max val="30000.0"/>
          <c:min val="10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519089088"/>
        <c:crosses val="autoZero"/>
        <c:crossBetween val="midCat"/>
      </c:valAx>
      <c:valAx>
        <c:axId val="-519089088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6417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channels!$T$3:$T$8</c:f>
              <c:numCache>
                <c:formatCode>General</c:formatCode>
                <c:ptCount val="6"/>
                <c:pt idx="0">
                  <c:v>334.0</c:v>
                </c:pt>
                <c:pt idx="1">
                  <c:v>554.0</c:v>
                </c:pt>
                <c:pt idx="2">
                  <c:v>288.5</c:v>
                </c:pt>
                <c:pt idx="3">
                  <c:v>465.6666666666666</c:v>
                </c:pt>
                <c:pt idx="4">
                  <c:v>447.0</c:v>
                </c:pt>
                <c:pt idx="5">
                  <c:v>743.0</c:v>
                </c:pt>
              </c:numCache>
            </c:numRef>
          </c:xVal>
          <c:yVal>
            <c:numRef>
              <c:f>channels!$Q$3:$Q$8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channels!$T$10:$T$13</c:f>
              <c:numCache>
                <c:formatCode>General</c:formatCode>
                <c:ptCount val="4"/>
                <c:pt idx="0">
                  <c:v>436.0</c:v>
                </c:pt>
                <c:pt idx="1">
                  <c:v>182.0</c:v>
                </c:pt>
                <c:pt idx="2">
                  <c:v>261.0</c:v>
                </c:pt>
                <c:pt idx="3">
                  <c:v>815.0</c:v>
                </c:pt>
              </c:numCache>
            </c:numRef>
          </c:xVal>
          <c:yVal>
            <c:numRef>
              <c:f>channels!$Q$10:$Q$13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channels!$T$15:$T$18</c:f>
              <c:numCache>
                <c:formatCode>General</c:formatCode>
                <c:ptCount val="4"/>
                <c:pt idx="0">
                  <c:v>270.0</c:v>
                </c:pt>
                <c:pt idx="2">
                  <c:v>558.0</c:v>
                </c:pt>
              </c:numCache>
            </c:numRef>
          </c:xVal>
          <c:yVal>
            <c:numRef>
              <c:f>channels!$Q$15:$Q$18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channels!$T$20:$T$25</c:f>
              <c:numCache>
                <c:formatCode>General</c:formatCode>
                <c:ptCount val="6"/>
                <c:pt idx="2">
                  <c:v>181.0</c:v>
                </c:pt>
                <c:pt idx="4">
                  <c:v>181.0</c:v>
                </c:pt>
                <c:pt idx="5">
                  <c:v>600.0</c:v>
                </c:pt>
              </c:numCache>
            </c:numRef>
          </c:xVal>
          <c:yVal>
            <c:numRef>
              <c:f>channels!$Q$20:$Q$25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channels!$T$27:$T$31</c:f>
              <c:numCache>
                <c:formatCode>General</c:formatCode>
                <c:ptCount val="5"/>
                <c:pt idx="0">
                  <c:v>216.0</c:v>
                </c:pt>
                <c:pt idx="1">
                  <c:v>246.0</c:v>
                </c:pt>
                <c:pt idx="2">
                  <c:v>238.0</c:v>
                </c:pt>
                <c:pt idx="3">
                  <c:v>160.0</c:v>
                </c:pt>
                <c:pt idx="4">
                  <c:v>245.0</c:v>
                </c:pt>
              </c:numCache>
            </c:numRef>
          </c:xVal>
          <c:yVal>
            <c:numRef>
              <c:f>channels!$Q$27:$Q$31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715952"/>
        <c:axId val="-797759952"/>
      </c:scatterChart>
      <c:valAx>
        <c:axId val="-797715952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59952"/>
        <c:crosses val="autoZero"/>
        <c:crossBetween val="midCat"/>
      </c:valAx>
      <c:valAx>
        <c:axId val="-797759952"/>
        <c:scaling>
          <c:logBase val="10.0"/>
          <c:orientation val="minMax"/>
          <c:max val="2600.0"/>
          <c:min val="5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1595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channels!$Y$3:$Y$8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channels!$Y$10:$Y$13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channels!$Y$15:$Y$18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channels!$Y$20:$Y$25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channels!$Y$20:$Y$25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078160"/>
        <c:axId val="-763258032"/>
      </c:scatterChart>
      <c:valAx>
        <c:axId val="-7630781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258032"/>
        <c:crosses val="autoZero"/>
        <c:crossBetween val="midCat"/>
      </c:valAx>
      <c:valAx>
        <c:axId val="-76325803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>
            <c:manualLayout>
              <c:xMode val="edge"/>
              <c:yMode val="edge"/>
              <c:x val="0.0262992048167125"/>
              <c:y val="0.260289535984848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307816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91018188637"/>
          <c:y val="0.0297255250583398"/>
          <c:w val="0.817051065691606"/>
          <c:h val="0.86709634403822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av'!$K$2:$K$8</c:f>
              <c:numCache>
                <c:formatCode>General</c:formatCode>
                <c:ptCount val="7"/>
                <c:pt idx="0">
                  <c:v>1816.83333333333</c:v>
                </c:pt>
                <c:pt idx="1">
                  <c:v>1322.0</c:v>
                </c:pt>
                <c:pt idx="2">
                  <c:v>1208.0</c:v>
                </c:pt>
                <c:pt idx="3">
                  <c:v>1892.5</c:v>
                </c:pt>
                <c:pt idx="4">
                  <c:v>874.4</c:v>
                </c:pt>
                <c:pt idx="5">
                  <c:v>1469.92</c:v>
                </c:pt>
                <c:pt idx="6">
                  <c:v>856.089851359073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2879920"/>
        <c:axId val="-762877872"/>
      </c:scatterChart>
      <c:valAx>
        <c:axId val="-76287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762877872"/>
        <c:crosses val="autoZero"/>
        <c:crossBetween val="midCat"/>
      </c:valAx>
      <c:valAx>
        <c:axId val="-7628778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7628799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40225211135"/>
          <c:y val="0.029676558852951"/>
          <c:w val="0.817015952455427"/>
          <c:h val="0.867066800044459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av'!$L$2:$L$8</c:f>
              <c:numCache>
                <c:formatCode>General</c:formatCode>
                <c:ptCount val="7"/>
                <c:pt idx="0">
                  <c:v>250.833333333333</c:v>
                </c:pt>
                <c:pt idx="1">
                  <c:v>186.25</c:v>
                </c:pt>
                <c:pt idx="2">
                  <c:v>138.0</c:v>
                </c:pt>
                <c:pt idx="3">
                  <c:v>268.5</c:v>
                </c:pt>
                <c:pt idx="4">
                  <c:v>135.2</c:v>
                </c:pt>
                <c:pt idx="5">
                  <c:v>203.56</c:v>
                </c:pt>
                <c:pt idx="6">
                  <c:v>128.414665829102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2990528"/>
        <c:axId val="-763344208"/>
      </c:scatterChart>
      <c:valAx>
        <c:axId val="-32299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763344208"/>
        <c:crosses val="autoZero"/>
        <c:crossBetween val="midCat"/>
      </c:valAx>
      <c:valAx>
        <c:axId val="-7633442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3229905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Systems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histogram!$C$1:$C$183</c:f>
              <c:numCache>
                <c:formatCode>General</c:formatCode>
                <c:ptCount val="183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  <c:pt idx="52">
                  <c:v>33.0</c:v>
                </c:pt>
                <c:pt idx="53">
                  <c:v>130.0</c:v>
                </c:pt>
                <c:pt idx="54">
                  <c:v>3.0</c:v>
                </c:pt>
                <c:pt idx="55">
                  <c:v>20.0</c:v>
                </c:pt>
                <c:pt idx="56">
                  <c:v>16.5</c:v>
                </c:pt>
                <c:pt idx="57">
                  <c:v>2.0</c:v>
                </c:pt>
                <c:pt idx="58">
                  <c:v>22.0</c:v>
                </c:pt>
                <c:pt idx="59">
                  <c:v>16.0</c:v>
                </c:pt>
                <c:pt idx="60">
                  <c:v>19.0</c:v>
                </c:pt>
                <c:pt idx="61">
                  <c:v>21.0</c:v>
                </c:pt>
                <c:pt idx="62">
                  <c:v>5.0</c:v>
                </c:pt>
                <c:pt idx="63">
                  <c:v>51.0</c:v>
                </c:pt>
                <c:pt idx="64">
                  <c:v>90.0</c:v>
                </c:pt>
                <c:pt idx="65">
                  <c:v>100.0</c:v>
                </c:pt>
                <c:pt idx="66">
                  <c:v>84.0</c:v>
                </c:pt>
                <c:pt idx="67">
                  <c:v>2.0</c:v>
                </c:pt>
                <c:pt idx="68">
                  <c:v>3.0</c:v>
                </c:pt>
                <c:pt idx="69">
                  <c:v>5.0</c:v>
                </c:pt>
                <c:pt idx="70">
                  <c:v>7.0</c:v>
                </c:pt>
                <c:pt idx="71">
                  <c:v>75.0</c:v>
                </c:pt>
                <c:pt idx="72">
                  <c:v>86.0</c:v>
                </c:pt>
                <c:pt idx="73">
                  <c:v>116.0</c:v>
                </c:pt>
                <c:pt idx="74">
                  <c:v>72.0</c:v>
                </c:pt>
                <c:pt idx="75">
                  <c:v>50.0</c:v>
                </c:pt>
                <c:pt idx="76">
                  <c:v>103.0</c:v>
                </c:pt>
                <c:pt idx="77">
                  <c:v>53.0</c:v>
                </c:pt>
                <c:pt idx="78">
                  <c:v>27.0</c:v>
                </c:pt>
                <c:pt idx="79">
                  <c:v>11.0</c:v>
                </c:pt>
                <c:pt idx="80">
                  <c:v>29.0</c:v>
                </c:pt>
                <c:pt idx="81">
                  <c:v>16.0</c:v>
                </c:pt>
                <c:pt idx="82">
                  <c:v>30.0</c:v>
                </c:pt>
                <c:pt idx="83">
                  <c:v>17.0</c:v>
                </c:pt>
                <c:pt idx="84">
                  <c:v>16.0</c:v>
                </c:pt>
                <c:pt idx="85">
                  <c:v>71.0</c:v>
                </c:pt>
                <c:pt idx="86">
                  <c:v>78.0</c:v>
                </c:pt>
                <c:pt idx="87">
                  <c:v>44.0</c:v>
                </c:pt>
                <c:pt idx="88">
                  <c:v>24.0</c:v>
                </c:pt>
                <c:pt idx="89">
                  <c:v>15.0</c:v>
                </c:pt>
                <c:pt idx="90">
                  <c:v>18.0</c:v>
                </c:pt>
                <c:pt idx="91">
                  <c:v>11.0</c:v>
                </c:pt>
                <c:pt idx="92">
                  <c:v>48.0</c:v>
                </c:pt>
                <c:pt idx="93">
                  <c:v>43.0</c:v>
                </c:pt>
                <c:pt idx="94">
                  <c:v>32.0</c:v>
                </c:pt>
                <c:pt idx="95">
                  <c:v>27.0</c:v>
                </c:pt>
                <c:pt idx="96">
                  <c:v>10.0</c:v>
                </c:pt>
                <c:pt idx="97">
                  <c:v>32.0</c:v>
                </c:pt>
                <c:pt idx="98">
                  <c:v>61.0</c:v>
                </c:pt>
                <c:pt idx="99">
                  <c:v>49.0</c:v>
                </c:pt>
                <c:pt idx="100">
                  <c:v>28.0</c:v>
                </c:pt>
                <c:pt idx="101">
                  <c:v>25.0</c:v>
                </c:pt>
                <c:pt idx="102">
                  <c:v>13.0</c:v>
                </c:pt>
                <c:pt idx="103">
                  <c:v>170.0</c:v>
                </c:pt>
                <c:pt idx="104">
                  <c:v>71.0</c:v>
                </c:pt>
                <c:pt idx="105">
                  <c:v>108.0</c:v>
                </c:pt>
                <c:pt idx="106">
                  <c:v>25.0</c:v>
                </c:pt>
                <c:pt idx="107">
                  <c:v>25.0</c:v>
                </c:pt>
                <c:pt idx="108">
                  <c:v>25.0</c:v>
                </c:pt>
                <c:pt idx="109">
                  <c:v>29.0</c:v>
                </c:pt>
                <c:pt idx="110">
                  <c:v>56.0</c:v>
                </c:pt>
                <c:pt idx="111">
                  <c:v>59.0</c:v>
                </c:pt>
                <c:pt idx="112">
                  <c:v>46.0</c:v>
                </c:pt>
                <c:pt idx="113">
                  <c:v>65.0</c:v>
                </c:pt>
                <c:pt idx="114">
                  <c:v>93.0</c:v>
                </c:pt>
                <c:pt idx="115">
                  <c:v>99.0</c:v>
                </c:pt>
                <c:pt idx="116">
                  <c:v>10.0</c:v>
                </c:pt>
                <c:pt idx="117">
                  <c:v>60.0</c:v>
                </c:pt>
                <c:pt idx="118">
                  <c:v>37.0</c:v>
                </c:pt>
                <c:pt idx="119">
                  <c:v>9.0</c:v>
                </c:pt>
                <c:pt idx="120">
                  <c:v>13.0</c:v>
                </c:pt>
                <c:pt idx="121">
                  <c:v>59.0</c:v>
                </c:pt>
                <c:pt idx="122">
                  <c:v>21.0</c:v>
                </c:pt>
                <c:pt idx="123">
                  <c:v>36.0</c:v>
                </c:pt>
                <c:pt idx="124">
                  <c:v>32.0</c:v>
                </c:pt>
                <c:pt idx="125">
                  <c:v>22.0</c:v>
                </c:pt>
                <c:pt idx="126">
                  <c:v>22.0</c:v>
                </c:pt>
                <c:pt idx="127">
                  <c:v>48.0</c:v>
                </c:pt>
                <c:pt idx="128">
                  <c:v>69.0</c:v>
                </c:pt>
                <c:pt idx="129">
                  <c:v>33.0</c:v>
                </c:pt>
                <c:pt idx="130">
                  <c:v>118.0</c:v>
                </c:pt>
                <c:pt idx="131">
                  <c:v>102.0</c:v>
                </c:pt>
                <c:pt idx="132">
                  <c:v>29.0</c:v>
                </c:pt>
                <c:pt idx="133">
                  <c:v>36.0</c:v>
                </c:pt>
                <c:pt idx="134">
                  <c:v>35.0</c:v>
                </c:pt>
                <c:pt idx="135">
                  <c:v>34.0</c:v>
                </c:pt>
                <c:pt idx="136">
                  <c:v>23.0</c:v>
                </c:pt>
                <c:pt idx="137">
                  <c:v>14.0</c:v>
                </c:pt>
                <c:pt idx="138">
                  <c:v>41.0</c:v>
                </c:pt>
                <c:pt idx="139">
                  <c:v>15.0</c:v>
                </c:pt>
                <c:pt idx="140">
                  <c:v>60.0</c:v>
                </c:pt>
                <c:pt idx="141">
                  <c:v>43.0</c:v>
                </c:pt>
                <c:pt idx="142">
                  <c:v>38.0</c:v>
                </c:pt>
                <c:pt idx="143">
                  <c:v>19.0</c:v>
                </c:pt>
                <c:pt idx="144">
                  <c:v>10.0</c:v>
                </c:pt>
                <c:pt idx="145">
                  <c:v>29.0</c:v>
                </c:pt>
                <c:pt idx="146">
                  <c:v>9.0</c:v>
                </c:pt>
                <c:pt idx="147">
                  <c:v>9.0</c:v>
                </c:pt>
                <c:pt idx="148">
                  <c:v>20.0</c:v>
                </c:pt>
                <c:pt idx="149">
                  <c:v>22.0</c:v>
                </c:pt>
                <c:pt idx="150">
                  <c:v>12.0</c:v>
                </c:pt>
                <c:pt idx="151">
                  <c:v>9.0</c:v>
                </c:pt>
                <c:pt idx="152">
                  <c:v>18.0</c:v>
                </c:pt>
                <c:pt idx="153">
                  <c:v>14.0</c:v>
                </c:pt>
                <c:pt idx="154">
                  <c:v>19.0</c:v>
                </c:pt>
                <c:pt idx="155">
                  <c:v>28.0</c:v>
                </c:pt>
                <c:pt idx="156">
                  <c:v>7.0</c:v>
                </c:pt>
                <c:pt idx="157">
                  <c:v>36.0</c:v>
                </c:pt>
                <c:pt idx="158">
                  <c:v>12.0</c:v>
                </c:pt>
                <c:pt idx="159">
                  <c:v>62.0</c:v>
                </c:pt>
                <c:pt idx="160">
                  <c:v>41.0</c:v>
                </c:pt>
                <c:pt idx="161">
                  <c:v>37.0</c:v>
                </c:pt>
                <c:pt idx="162">
                  <c:v>41.0</c:v>
                </c:pt>
                <c:pt idx="163">
                  <c:v>14.1</c:v>
                </c:pt>
                <c:pt idx="164">
                  <c:v>7.0</c:v>
                </c:pt>
                <c:pt idx="165">
                  <c:v>5.0</c:v>
                </c:pt>
                <c:pt idx="166">
                  <c:v>77.0</c:v>
                </c:pt>
                <c:pt idx="167">
                  <c:v>80.0</c:v>
                </c:pt>
                <c:pt idx="168">
                  <c:v>70.0</c:v>
                </c:pt>
                <c:pt idx="169">
                  <c:v>63.0</c:v>
                </c:pt>
                <c:pt idx="170">
                  <c:v>62.0</c:v>
                </c:pt>
                <c:pt idx="171">
                  <c:v>34.0</c:v>
                </c:pt>
                <c:pt idx="172">
                  <c:v>40.0</c:v>
                </c:pt>
                <c:pt idx="173">
                  <c:v>30.0</c:v>
                </c:pt>
                <c:pt idx="174">
                  <c:v>19.0</c:v>
                </c:pt>
                <c:pt idx="175">
                  <c:v>40.0</c:v>
                </c:pt>
                <c:pt idx="176">
                  <c:v>53.0</c:v>
                </c:pt>
                <c:pt idx="177">
                  <c:v>24.0</c:v>
                </c:pt>
                <c:pt idx="178">
                  <c:v>37.0</c:v>
                </c:pt>
                <c:pt idx="179">
                  <c:v>20.0</c:v>
                </c:pt>
                <c:pt idx="180">
                  <c:v>18.0</c:v>
                </c:pt>
                <c:pt idx="181">
                  <c:v>20.0</c:v>
                </c:pt>
                <c:pt idx="182">
                  <c:v>64.0</c:v>
                </c:pt>
              </c:numCache>
            </c:numRef>
          </c:yVal>
          <c:smooth val="0"/>
        </c:ser>
        <c:ser>
          <c:idx val="8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sims!$F$3:$F$5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sims!$E$3:$E$5</c:f>
              <c:numCache>
                <c:formatCode>General</c:formatCode>
                <c:ptCount val="3"/>
                <c:pt idx="0">
                  <c:v>900.0</c:v>
                </c:pt>
                <c:pt idx="1">
                  <c:v>0.0</c:v>
                </c:pt>
                <c:pt idx="2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272608"/>
        <c:axId val="-763268928"/>
      </c:scatterChart>
      <c:valAx>
        <c:axId val="-763272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268928"/>
        <c:crosses val="autoZero"/>
        <c:crossBetween val="midCat"/>
      </c:valAx>
      <c:valAx>
        <c:axId val="-7632689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27260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5539995901359"/>
          <c:y val="0.0672334762941534"/>
          <c:w val="0.553549593551472"/>
          <c:h val="0.074483809338247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histogram!$B$1:$B$183</c:f>
              <c:numCache>
                <c:formatCode>General</c:formatCode>
                <c:ptCount val="183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  <c:pt idx="52">
                  <c:v>400.0</c:v>
                </c:pt>
                <c:pt idx="53">
                  <c:v>525.0</c:v>
                </c:pt>
                <c:pt idx="54">
                  <c:v>250.0</c:v>
                </c:pt>
                <c:pt idx="55">
                  <c:v>368.0</c:v>
                </c:pt>
                <c:pt idx="56">
                  <c:v>456.0</c:v>
                </c:pt>
                <c:pt idx="57">
                  <c:v>211.0</c:v>
                </c:pt>
                <c:pt idx="58">
                  <c:v>278.0</c:v>
                </c:pt>
                <c:pt idx="59">
                  <c:v>196.0</c:v>
                </c:pt>
                <c:pt idx="60">
                  <c:v>164.0</c:v>
                </c:pt>
                <c:pt idx="61">
                  <c:v>244.0</c:v>
                </c:pt>
                <c:pt idx="62">
                  <c:v>20.0</c:v>
                </c:pt>
                <c:pt idx="63">
                  <c:v>407.0</c:v>
                </c:pt>
                <c:pt idx="64">
                  <c:v>379.0</c:v>
                </c:pt>
                <c:pt idx="65">
                  <c:v>569.0</c:v>
                </c:pt>
                <c:pt idx="66">
                  <c:v>774.0</c:v>
                </c:pt>
                <c:pt idx="67">
                  <c:v>279.0</c:v>
                </c:pt>
                <c:pt idx="68">
                  <c:v>307.0</c:v>
                </c:pt>
                <c:pt idx="69">
                  <c:v>264.0</c:v>
                </c:pt>
                <c:pt idx="70">
                  <c:v>266.0</c:v>
                </c:pt>
                <c:pt idx="71">
                  <c:v>553.0</c:v>
                </c:pt>
                <c:pt idx="72">
                  <c:v>390.0</c:v>
                </c:pt>
                <c:pt idx="73">
                  <c:v>838.0</c:v>
                </c:pt>
                <c:pt idx="74">
                  <c:v>552.0</c:v>
                </c:pt>
                <c:pt idx="75">
                  <c:v>447.0</c:v>
                </c:pt>
                <c:pt idx="76">
                  <c:v>844.0</c:v>
                </c:pt>
                <c:pt idx="77">
                  <c:v>757.0</c:v>
                </c:pt>
                <c:pt idx="78">
                  <c:v>397.0</c:v>
                </c:pt>
                <c:pt idx="79">
                  <c:v>251.0</c:v>
                </c:pt>
                <c:pt idx="80">
                  <c:v>315.0</c:v>
                </c:pt>
                <c:pt idx="81">
                  <c:v>324.0</c:v>
                </c:pt>
                <c:pt idx="82">
                  <c:v>443.0</c:v>
                </c:pt>
                <c:pt idx="83">
                  <c:v>305.0</c:v>
                </c:pt>
                <c:pt idx="84">
                  <c:v>192.0</c:v>
                </c:pt>
                <c:pt idx="85">
                  <c:v>404.0</c:v>
                </c:pt>
                <c:pt idx="86">
                  <c:v>380.0</c:v>
                </c:pt>
                <c:pt idx="87">
                  <c:v>271.0</c:v>
                </c:pt>
                <c:pt idx="88">
                  <c:v>217.0</c:v>
                </c:pt>
                <c:pt idx="89">
                  <c:v>242.0</c:v>
                </c:pt>
                <c:pt idx="90">
                  <c:v>271.0</c:v>
                </c:pt>
                <c:pt idx="91">
                  <c:v>307.0</c:v>
                </c:pt>
                <c:pt idx="92">
                  <c:v>368.0</c:v>
                </c:pt>
                <c:pt idx="93">
                  <c:v>328.0</c:v>
                </c:pt>
                <c:pt idx="94">
                  <c:v>292.0</c:v>
                </c:pt>
                <c:pt idx="95">
                  <c:v>276.0</c:v>
                </c:pt>
                <c:pt idx="96">
                  <c:v>294.0</c:v>
                </c:pt>
                <c:pt idx="97">
                  <c:v>402.0</c:v>
                </c:pt>
                <c:pt idx="98">
                  <c:v>456.0</c:v>
                </c:pt>
                <c:pt idx="99">
                  <c:v>455.0</c:v>
                </c:pt>
                <c:pt idx="100">
                  <c:v>378.0</c:v>
                </c:pt>
                <c:pt idx="101">
                  <c:v>424.0</c:v>
                </c:pt>
                <c:pt idx="102">
                  <c:v>155.0</c:v>
                </c:pt>
                <c:pt idx="103">
                  <c:v>1230.0</c:v>
                </c:pt>
                <c:pt idx="104">
                  <c:v>658.0</c:v>
                </c:pt>
                <c:pt idx="105">
                  <c:v>666.0</c:v>
                </c:pt>
                <c:pt idx="106">
                  <c:v>400.0</c:v>
                </c:pt>
                <c:pt idx="107">
                  <c:v>513.0</c:v>
                </c:pt>
                <c:pt idx="108">
                  <c:v>507.0</c:v>
                </c:pt>
                <c:pt idx="109">
                  <c:v>261.0</c:v>
                </c:pt>
                <c:pt idx="110">
                  <c:v>291.0</c:v>
                </c:pt>
                <c:pt idx="111">
                  <c:v>502.0</c:v>
                </c:pt>
                <c:pt idx="112">
                  <c:v>388.0</c:v>
                </c:pt>
                <c:pt idx="113">
                  <c:v>440.0</c:v>
                </c:pt>
                <c:pt idx="114">
                  <c:v>1450.0</c:v>
                </c:pt>
                <c:pt idx="115">
                  <c:v>1170.0</c:v>
                </c:pt>
                <c:pt idx="116">
                  <c:v>319.0</c:v>
                </c:pt>
                <c:pt idx="117">
                  <c:v>290.0</c:v>
                </c:pt>
                <c:pt idx="118">
                  <c:v>192.0</c:v>
                </c:pt>
                <c:pt idx="119">
                  <c:v>260.0</c:v>
                </c:pt>
                <c:pt idx="120">
                  <c:v>185.0</c:v>
                </c:pt>
                <c:pt idx="121">
                  <c:v>285.0</c:v>
                </c:pt>
                <c:pt idx="122">
                  <c:v>181.0</c:v>
                </c:pt>
                <c:pt idx="123">
                  <c:v>172.0</c:v>
                </c:pt>
                <c:pt idx="124">
                  <c:v>134.0</c:v>
                </c:pt>
                <c:pt idx="125">
                  <c:v>124.0</c:v>
                </c:pt>
                <c:pt idx="126">
                  <c:v>205.0</c:v>
                </c:pt>
                <c:pt idx="127">
                  <c:v>268.0</c:v>
                </c:pt>
                <c:pt idx="128">
                  <c:v>452.0</c:v>
                </c:pt>
                <c:pt idx="129">
                  <c:v>286.0</c:v>
                </c:pt>
                <c:pt idx="130">
                  <c:v>700.0</c:v>
                </c:pt>
                <c:pt idx="131">
                  <c:v>496.0</c:v>
                </c:pt>
                <c:pt idx="132">
                  <c:v>304.0</c:v>
                </c:pt>
                <c:pt idx="133">
                  <c:v>194.0</c:v>
                </c:pt>
                <c:pt idx="134">
                  <c:v>209.0</c:v>
                </c:pt>
                <c:pt idx="135">
                  <c:v>213.0</c:v>
                </c:pt>
                <c:pt idx="136">
                  <c:v>126.0</c:v>
                </c:pt>
                <c:pt idx="137">
                  <c:v>111.0</c:v>
                </c:pt>
                <c:pt idx="138">
                  <c:v>241.0</c:v>
                </c:pt>
                <c:pt idx="139">
                  <c:v>142.0</c:v>
                </c:pt>
                <c:pt idx="140">
                  <c:v>328.0</c:v>
                </c:pt>
                <c:pt idx="141">
                  <c:v>170.0</c:v>
                </c:pt>
                <c:pt idx="142">
                  <c:v>197.0</c:v>
                </c:pt>
                <c:pt idx="143">
                  <c:v>194.0</c:v>
                </c:pt>
                <c:pt idx="144">
                  <c:v>166.0</c:v>
                </c:pt>
                <c:pt idx="145">
                  <c:v>183.0</c:v>
                </c:pt>
                <c:pt idx="146">
                  <c:v>89.0</c:v>
                </c:pt>
                <c:pt idx="147">
                  <c:v>81.0</c:v>
                </c:pt>
                <c:pt idx="148">
                  <c:v>97.0</c:v>
                </c:pt>
                <c:pt idx="149">
                  <c:v>120.0</c:v>
                </c:pt>
                <c:pt idx="150">
                  <c:v>113.0</c:v>
                </c:pt>
                <c:pt idx="151">
                  <c:v>82.0</c:v>
                </c:pt>
                <c:pt idx="152">
                  <c:v>91.0</c:v>
                </c:pt>
                <c:pt idx="153">
                  <c:v>115.0</c:v>
                </c:pt>
                <c:pt idx="154">
                  <c:v>114.0</c:v>
                </c:pt>
                <c:pt idx="155">
                  <c:v>106.0</c:v>
                </c:pt>
                <c:pt idx="156">
                  <c:v>139.0</c:v>
                </c:pt>
                <c:pt idx="157">
                  <c:v>187.0</c:v>
                </c:pt>
                <c:pt idx="158">
                  <c:v>97.0</c:v>
                </c:pt>
                <c:pt idx="159">
                  <c:v>300.0</c:v>
                </c:pt>
                <c:pt idx="160">
                  <c:v>291.0</c:v>
                </c:pt>
                <c:pt idx="161">
                  <c:v>160.0</c:v>
                </c:pt>
                <c:pt idx="162">
                  <c:v>140.0</c:v>
                </c:pt>
                <c:pt idx="163">
                  <c:v>102.0</c:v>
                </c:pt>
                <c:pt idx="164">
                  <c:v>130.0</c:v>
                </c:pt>
                <c:pt idx="165">
                  <c:v>122.0</c:v>
                </c:pt>
                <c:pt idx="166">
                  <c:v>296.0</c:v>
                </c:pt>
                <c:pt idx="167">
                  <c:v>257.0</c:v>
                </c:pt>
                <c:pt idx="168">
                  <c:v>236.0</c:v>
                </c:pt>
                <c:pt idx="169">
                  <c:v>210.0</c:v>
                </c:pt>
                <c:pt idx="170">
                  <c:v>201.0</c:v>
                </c:pt>
                <c:pt idx="171">
                  <c:v>156.0</c:v>
                </c:pt>
                <c:pt idx="172">
                  <c:v>155.0</c:v>
                </c:pt>
                <c:pt idx="173">
                  <c:v>128.0</c:v>
                </c:pt>
                <c:pt idx="174">
                  <c:v>90.0</c:v>
                </c:pt>
                <c:pt idx="175">
                  <c:v>170.0</c:v>
                </c:pt>
                <c:pt idx="176">
                  <c:v>212.0</c:v>
                </c:pt>
                <c:pt idx="177">
                  <c:v>107.0</c:v>
                </c:pt>
                <c:pt idx="178">
                  <c:v>197.0</c:v>
                </c:pt>
                <c:pt idx="179">
                  <c:v>146.0</c:v>
                </c:pt>
                <c:pt idx="180">
                  <c:v>111.0</c:v>
                </c:pt>
                <c:pt idx="181">
                  <c:v>90.0</c:v>
                </c:pt>
                <c:pt idx="182">
                  <c:v>386.0</c:v>
                </c:pt>
              </c:numCache>
            </c:numRef>
          </c:yVal>
          <c:smooth val="0"/>
        </c:ser>
        <c:ser>
          <c:idx val="0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sims!$F$3:$F$5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sims!$D$3:$D$5</c:f>
              <c:numCache>
                <c:formatCode>General</c:formatCode>
                <c:ptCount val="3"/>
                <c:pt idx="0">
                  <c:v>600.0</c:v>
                </c:pt>
                <c:pt idx="1">
                  <c:v>0.0</c:v>
                </c:pt>
                <c:pt idx="2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3018448"/>
        <c:axId val="-763016016"/>
      </c:scatterChart>
      <c:valAx>
        <c:axId val="-763018448"/>
        <c:scaling>
          <c:orientation val="minMax"/>
          <c:min val="5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</a:t>
                </a:r>
                <a:r>
                  <a:rPr lang="en-US" baseline="0"/>
                  <a:t>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016016"/>
        <c:crosses val="autoZero"/>
        <c:crossBetween val="midCat"/>
      </c:valAx>
      <c:valAx>
        <c:axId val="-763016016"/>
        <c:scaling>
          <c:orientation val="minMax"/>
          <c:min val="1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76301844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10198028499194"/>
          <c:y val="0.0762912950723866"/>
          <c:w val="0.411524852384495"/>
          <c:h val="0.1055400609121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97560</xdr:colOff>
      <xdr:row>87</xdr:row>
      <xdr:rowOff>197280</xdr:rowOff>
    </xdr:from>
    <xdr:to>
      <xdr:col>17</xdr:col>
      <xdr:colOff>535955</xdr:colOff>
      <xdr:row>104</xdr:row>
      <xdr:rowOff>97200</xdr:rowOff>
    </xdr:to>
    <xdr:graphicFrame macro="">
      <xdr:nvGraphicFramePr>
        <xdr:cNvPr id="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288360</xdr:colOff>
      <xdr:row>3</xdr:row>
      <xdr:rowOff>77040</xdr:rowOff>
    </xdr:from>
    <xdr:to>
      <xdr:col>38</xdr:col>
      <xdr:colOff>284</xdr:colOff>
      <xdr:row>20</xdr:row>
      <xdr:rowOff>143488</xdr:rowOff>
    </xdr:to>
    <xdr:graphicFrame macro="">
      <xdr:nvGraphicFramePr>
        <xdr:cNvPr id="3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343040</xdr:colOff>
      <xdr:row>37</xdr:row>
      <xdr:rowOff>177820</xdr:rowOff>
    </xdr:from>
    <xdr:to>
      <xdr:col>21</xdr:col>
      <xdr:colOff>596840</xdr:colOff>
      <xdr:row>52</xdr:row>
      <xdr:rowOff>37980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20</xdr:colOff>
      <xdr:row>15</xdr:row>
      <xdr:rowOff>184040</xdr:rowOff>
    </xdr:from>
    <xdr:to>
      <xdr:col>24</xdr:col>
      <xdr:colOff>291880</xdr:colOff>
      <xdr:row>30</xdr:row>
      <xdr:rowOff>56800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622360</xdr:colOff>
      <xdr:row>21</xdr:row>
      <xdr:rowOff>69520</xdr:rowOff>
    </xdr:from>
    <xdr:to>
      <xdr:col>18</xdr:col>
      <xdr:colOff>393500</xdr:colOff>
      <xdr:row>35</xdr:row>
      <xdr:rowOff>145840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0</xdr:row>
      <xdr:rowOff>63500</xdr:rowOff>
    </xdr:from>
    <xdr:to>
      <xdr:col>24</xdr:col>
      <xdr:colOff>177800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33</xdr:row>
      <xdr:rowOff>146050</xdr:rowOff>
    </xdr:from>
    <xdr:to>
      <xdr:col>14</xdr:col>
      <xdr:colOff>736600</xdr:colOff>
      <xdr:row>51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444640</xdr:colOff>
      <xdr:row>0</xdr:row>
      <xdr:rowOff>177760</xdr:rowOff>
    </xdr:from>
    <xdr:to>
      <xdr:col>11</xdr:col>
      <xdr:colOff>177800</xdr:colOff>
      <xdr:row>20</xdr:row>
      <xdr:rowOff>177400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584200</xdr:colOff>
      <xdr:row>44</xdr:row>
      <xdr:rowOff>152460</xdr:rowOff>
    </xdr:from>
    <xdr:to>
      <xdr:col>8</xdr:col>
      <xdr:colOff>533400</xdr:colOff>
      <xdr:row>64</xdr:row>
      <xdr:rowOff>177660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174900</xdr:colOff>
      <xdr:row>1</xdr:row>
      <xdr:rowOff>5280</xdr:rowOff>
    </xdr:from>
    <xdr:to>
      <xdr:col>19</xdr:col>
      <xdr:colOff>51780</xdr:colOff>
      <xdr:row>21</xdr:row>
      <xdr:rowOff>165280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 macro="">
      <xdr:nvGraphicFramePr>
        <xdr:cNvPr id="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 macro="">
      <xdr:nvGraphicFramePr>
        <xdr:cNvPr id="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 macro="">
      <xdr:nvGraphicFramePr>
        <xdr:cNvPr id="1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 macro="">
      <xdr:nvGraphicFramePr>
        <xdr:cNvPr id="1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19</xdr:col>
      <xdr:colOff>88920</xdr:colOff>
      <xdr:row>1</xdr:row>
      <xdr:rowOff>12880</xdr:rowOff>
    </xdr:from>
    <xdr:to>
      <xdr:col>26</xdr:col>
      <xdr:colOff>228220</xdr:colOff>
      <xdr:row>21</xdr:row>
      <xdr:rowOff>38080</xdr:rowOff>
    </xdr:to>
    <xdr:graphicFrame macro="">
      <xdr:nvGraphicFramePr>
        <xdr:cNvPr id="1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906840</xdr:colOff>
      <xdr:row>47</xdr:row>
      <xdr:rowOff>38520</xdr:rowOff>
    </xdr:from>
    <xdr:to>
      <xdr:col>14</xdr:col>
      <xdr:colOff>488880</xdr:colOff>
      <xdr:row>63</xdr:row>
      <xdr:rowOff>25560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360</xdr:colOff>
      <xdr:row>47</xdr:row>
      <xdr:rowOff>32760</xdr:rowOff>
    </xdr:from>
    <xdr:to>
      <xdr:col>20</xdr:col>
      <xdr:colOff>610920</xdr:colOff>
      <xdr:row>63</xdr:row>
      <xdr:rowOff>19800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</xdr:col>
      <xdr:colOff>622300</xdr:colOff>
      <xdr:row>66</xdr:row>
      <xdr:rowOff>127360</xdr:rowOff>
    </xdr:from>
    <xdr:to>
      <xdr:col>11</xdr:col>
      <xdr:colOff>420000</xdr:colOff>
      <xdr:row>84</xdr:row>
      <xdr:rowOff>165100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11</xdr:col>
      <xdr:colOff>524680</xdr:colOff>
      <xdr:row>64</xdr:row>
      <xdr:rowOff>134060</xdr:rowOff>
    </xdr:from>
    <xdr:to>
      <xdr:col>22</xdr:col>
      <xdr:colOff>406400</xdr:colOff>
      <xdr:row>85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8"/>
  <sheetViews>
    <sheetView topLeftCell="G1" zoomScale="110" zoomScaleNormal="110" workbookViewId="0">
      <pane ySplit="1" topLeftCell="A15" activePane="bottomLeft" state="frozen"/>
      <selection pane="bottomLeft" activeCell="G54" sqref="G54"/>
    </sheetView>
  </sheetViews>
  <sheetFormatPr baseColWidth="10" defaultColWidth="8.83203125" defaultRowHeight="16" x14ac:dyDescent="0.2"/>
  <cols>
    <col min="1" max="1" width="16.6640625" style="1" customWidth="1"/>
    <col min="2" max="3" width="8.83203125" style="1" hidden="1" customWidth="1"/>
    <col min="4" max="6" width="8.83203125" style="1" customWidth="1"/>
    <col min="7" max="7" width="16.6640625" style="1" customWidth="1"/>
    <col min="8" max="8" width="19" style="1" customWidth="1"/>
    <col min="9" max="9" width="8" style="1" customWidth="1"/>
    <col min="10" max="10" width="15.6640625" style="1" customWidth="1"/>
    <col min="11" max="11" width="13.5" style="1" customWidth="1"/>
    <col min="12" max="12" width="14.1640625" style="1" customWidth="1"/>
    <col min="13" max="13" width="18" style="1" customWidth="1"/>
    <col min="14" max="16" width="8.83203125" style="1" customWidth="1"/>
    <col min="17" max="17" width="19.33203125" style="1" customWidth="1"/>
    <col min="18" max="19" width="25" style="1" customWidth="1"/>
    <col min="20" max="20" width="21.83203125" style="1" customWidth="1"/>
    <col min="21" max="21" width="17.33203125" style="1" customWidth="1"/>
    <col min="22" max="22" width="11.6640625" style="1" customWidth="1"/>
    <col min="23" max="1026" width="8.83203125" style="1"/>
  </cols>
  <sheetData>
    <row r="1" spans="1:10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156</v>
      </c>
      <c r="I1" s="2" t="s">
        <v>157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99</v>
      </c>
      <c r="T1" s="2" t="s">
        <v>16</v>
      </c>
      <c r="U1" s="2" t="s">
        <v>15</v>
      </c>
      <c r="V1" s="2" t="s">
        <v>99</v>
      </c>
      <c r="W1" s="2" t="s">
        <v>17</v>
      </c>
      <c r="Y1" s="2" t="s">
        <v>18</v>
      </c>
      <c r="AB1" s="2" t="s">
        <v>19</v>
      </c>
      <c r="AC1" s="2" t="s">
        <v>19</v>
      </c>
    </row>
    <row r="2" spans="1:1026" s="4" customFormat="1" x14ac:dyDescent="0.2">
      <c r="A2" s="3" t="s">
        <v>20</v>
      </c>
    </row>
    <row r="3" spans="1:1026" s="5" customFormat="1" x14ac:dyDescent="0.2">
      <c r="A3" s="5" t="s">
        <v>21</v>
      </c>
      <c r="B3" s="5" t="s">
        <v>22</v>
      </c>
      <c r="C3" s="5" t="s">
        <v>23</v>
      </c>
      <c r="D3" s="5">
        <v>10237</v>
      </c>
      <c r="E3" s="5">
        <v>11000</v>
      </c>
      <c r="F3" s="5">
        <f t="shared" ref="F3:F8" si="0">E3/D3</f>
        <v>1.0745335547523689</v>
      </c>
      <c r="G3" s="5">
        <f>1743-557</f>
        <v>1186</v>
      </c>
      <c r="H3" s="5">
        <f t="shared" ref="H3:H8" si="1">100*G3/E3</f>
        <v>10.781818181818181</v>
      </c>
      <c r="I3" s="5">
        <f>DEGREES(ATAN(H3/100))</f>
        <v>6.1537549363935398</v>
      </c>
      <c r="J3" s="5">
        <v>37.6</v>
      </c>
      <c r="K3" s="5">
        <f>AVERAGE('Width and Depths'!C2:C9)</f>
        <v>198.8</v>
      </c>
      <c r="L3" s="5">
        <f>AVERAGE('Width and Depths'!D2:D9)</f>
        <v>8.75</v>
      </c>
      <c r="M3" s="5">
        <f>'Width and Depths'!C2</f>
        <v>56.4</v>
      </c>
      <c r="N3" s="5">
        <f>MIN('Width and Depths'!$D2:$D9)</f>
        <v>1</v>
      </c>
      <c r="O3" s="5">
        <f>'Width and Depths'!C8</f>
        <v>381</v>
      </c>
      <c r="P3" s="5">
        <f>MAX('Width and Depths'!$D2:$D9)</f>
        <v>21</v>
      </c>
      <c r="Q3" s="5">
        <f t="shared" ref="Q3:Q8" si="2">X3/2</f>
        <v>1225</v>
      </c>
      <c r="R3" s="5">
        <v>75</v>
      </c>
      <c r="S3" s="5">
        <v>6.5</v>
      </c>
      <c r="T3" s="5">
        <v>334</v>
      </c>
      <c r="U3" s="5">
        <v>30</v>
      </c>
      <c r="V3" s="5">
        <v>13.9</v>
      </c>
      <c r="W3" s="5">
        <f t="shared" ref="W3:W8" si="3">K3/L3</f>
        <v>22.720000000000002</v>
      </c>
      <c r="X3" s="5">
        <v>2450</v>
      </c>
      <c r="Y3" s="5">
        <f t="shared" ref="Y3:Y8" si="4">Q3/T3</f>
        <v>3.6676646706586826</v>
      </c>
      <c r="Z3" s="5">
        <f t="shared" ref="Z3:Z8" si="5">Q3/R3</f>
        <v>16.333333333333332</v>
      </c>
      <c r="AA3" s="5">
        <f t="shared" ref="AA3:AA8" si="6">T3/U3</f>
        <v>11.133333333333333</v>
      </c>
      <c r="AB3" s="5">
        <f t="shared" ref="AB3:AB8" si="7">U3/T3</f>
        <v>8.9820359281437126E-2</v>
      </c>
      <c r="AC3" s="5">
        <f t="shared" ref="AC3:AC8" si="8">R3/Q3</f>
        <v>6.1224489795918366E-2</v>
      </c>
    </row>
    <row r="4" spans="1:1026" s="6" customFormat="1" x14ac:dyDescent="0.2">
      <c r="A4" s="6" t="s">
        <v>24</v>
      </c>
      <c r="B4" s="6" t="s">
        <v>25</v>
      </c>
      <c r="C4" s="6" t="s">
        <v>26</v>
      </c>
      <c r="D4" s="6">
        <v>10830</v>
      </c>
      <c r="E4" s="6">
        <v>12700</v>
      </c>
      <c r="F4" s="6">
        <f t="shared" si="0"/>
        <v>1.1726685133887349</v>
      </c>
      <c r="G4" s="6">
        <v>1933</v>
      </c>
      <c r="H4" s="5">
        <f t="shared" si="1"/>
        <v>15.220472440944881</v>
      </c>
      <c r="I4" s="5">
        <f t="shared" ref="I4:I7" si="9">DEGREES(ATAN(H4/100))</f>
        <v>8.6542671893807075</v>
      </c>
      <c r="J4" s="6">
        <v>61.5</v>
      </c>
      <c r="K4" s="6">
        <f>AVERAGE('Width and Depths'!C10:C17)</f>
        <v>321.875</v>
      </c>
      <c r="L4" s="6">
        <f>AVERAGE('Width and Depths'!D10:D17)</f>
        <v>35.375</v>
      </c>
      <c r="M4" s="6">
        <v>125</v>
      </c>
      <c r="N4" s="6">
        <f>MIN('Width and Depths'!$D10:$D17)</f>
        <v>4</v>
      </c>
      <c r="O4" s="6">
        <v>538</v>
      </c>
      <c r="P4" s="6">
        <f>MAX('Width and Depths'!$D10:$D17)</f>
        <v>113</v>
      </c>
      <c r="Q4" s="5">
        <f t="shared" si="2"/>
        <v>1830</v>
      </c>
      <c r="R4" s="6">
        <v>175</v>
      </c>
      <c r="S4" s="6">
        <v>9</v>
      </c>
      <c r="T4" s="6">
        <v>554</v>
      </c>
      <c r="U4" s="6">
        <v>85</v>
      </c>
      <c r="W4" s="6">
        <f t="shared" si="3"/>
        <v>9.0989399293286226</v>
      </c>
      <c r="X4" s="6">
        <v>3660</v>
      </c>
      <c r="Y4" s="5">
        <f t="shared" si="4"/>
        <v>3.3032490974729241</v>
      </c>
      <c r="Z4" s="5">
        <f t="shared" si="5"/>
        <v>10.457142857142857</v>
      </c>
      <c r="AA4" s="5">
        <f t="shared" si="6"/>
        <v>6.5176470588235293</v>
      </c>
      <c r="AB4" s="5">
        <f t="shared" si="7"/>
        <v>0.15342960288808663</v>
      </c>
      <c r="AC4" s="5">
        <f t="shared" si="8"/>
        <v>9.5628415300546443E-2</v>
      </c>
    </row>
    <row r="5" spans="1:1026" x14ac:dyDescent="0.2">
      <c r="A5" s="6" t="s">
        <v>27</v>
      </c>
      <c r="B5" s="6" t="s">
        <v>28</v>
      </c>
      <c r="C5"/>
      <c r="D5" s="6">
        <v>12400</v>
      </c>
      <c r="E5" s="6">
        <v>14000</v>
      </c>
      <c r="F5" s="6">
        <f t="shared" si="0"/>
        <v>1.1290322580645162</v>
      </c>
      <c r="G5" s="6">
        <v>1457</v>
      </c>
      <c r="H5" s="5">
        <f t="shared" si="1"/>
        <v>10.407142857142857</v>
      </c>
      <c r="I5" s="5">
        <f t="shared" si="9"/>
        <v>5.9414648339657168</v>
      </c>
      <c r="J5" s="6">
        <v>49</v>
      </c>
      <c r="K5" s="6">
        <f>AVERAGE('Width and Depths'!C18:C24)</f>
        <v>212.71428571428572</v>
      </c>
      <c r="L5" s="6">
        <f>AVERAGE('Width and Depths'!D18:D24)</f>
        <v>13.142857142857142</v>
      </c>
      <c r="M5" s="6">
        <v>149</v>
      </c>
      <c r="N5" s="6">
        <f>MIN('Width and Depths'!$D18:$D24)</f>
        <v>2</v>
      </c>
      <c r="O5" s="6">
        <v>291</v>
      </c>
      <c r="P5" s="6">
        <f>MAX('Width and Depths'!$D18:$D24)</f>
        <v>29</v>
      </c>
      <c r="Q5" s="5">
        <f t="shared" si="2"/>
        <v>2465</v>
      </c>
      <c r="R5" s="6">
        <v>235</v>
      </c>
      <c r="S5" s="6"/>
      <c r="T5" s="6">
        <f>577/2</f>
        <v>288.5</v>
      </c>
      <c r="U5" s="6">
        <v>50</v>
      </c>
      <c r="V5" s="6"/>
      <c r="W5" s="6">
        <f t="shared" si="3"/>
        <v>16.184782608695652</v>
      </c>
      <c r="X5" s="6">
        <v>4930</v>
      </c>
      <c r="Y5" s="5">
        <f t="shared" si="4"/>
        <v>8.5441941074523395</v>
      </c>
      <c r="Z5" s="5">
        <f t="shared" si="5"/>
        <v>10.48936170212766</v>
      </c>
      <c r="AA5" s="5">
        <f t="shared" si="6"/>
        <v>5.77</v>
      </c>
      <c r="AB5" s="5">
        <f t="shared" si="7"/>
        <v>0.1733102253032929</v>
      </c>
      <c r="AC5" s="5">
        <f t="shared" si="8"/>
        <v>9.5334685598377281E-2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">
      <c r="A6" s="6" t="s">
        <v>29</v>
      </c>
      <c r="B6" s="6" t="s">
        <v>30</v>
      </c>
      <c r="C6" s="6" t="s">
        <v>31</v>
      </c>
      <c r="D6" s="6">
        <v>10090</v>
      </c>
      <c r="E6" s="6">
        <v>11300</v>
      </c>
      <c r="F6" s="6">
        <f t="shared" si="0"/>
        <v>1.1199207135777998</v>
      </c>
      <c r="G6" s="6">
        <v>1372</v>
      </c>
      <c r="H6" s="5">
        <f t="shared" si="1"/>
        <v>12.141592920353983</v>
      </c>
      <c r="I6" s="5">
        <f t="shared" si="9"/>
        <v>6.9227350928093649</v>
      </c>
      <c r="J6" s="6">
        <v>58.6</v>
      </c>
      <c r="K6" s="6">
        <f>AVERAGE('Width and Depths'!C25:C34)</f>
        <v>310.10000000000002</v>
      </c>
      <c r="L6" s="6">
        <f>AVERAGE('Width and Depths'!D25:D34)</f>
        <v>33.15</v>
      </c>
      <c r="M6" s="6">
        <v>204</v>
      </c>
      <c r="N6" s="6">
        <f>MIN('Width and Depths'!$D25:$D34)</f>
        <v>1</v>
      </c>
      <c r="O6" s="6">
        <v>607</v>
      </c>
      <c r="P6" s="6">
        <f>MAX('Width and Depths'!$D25:$D34)</f>
        <v>105</v>
      </c>
      <c r="Q6" s="5">
        <f t="shared" si="2"/>
        <v>1800</v>
      </c>
      <c r="R6" s="6">
        <v>490</v>
      </c>
      <c r="S6" s="6"/>
      <c r="T6" s="6">
        <f>1397/3</f>
        <v>465.66666666666669</v>
      </c>
      <c r="U6" s="6">
        <v>70</v>
      </c>
      <c r="V6" s="6"/>
      <c r="W6" s="6">
        <f t="shared" si="3"/>
        <v>9.3544494720965314</v>
      </c>
      <c r="X6" s="6">
        <v>3600</v>
      </c>
      <c r="Y6" s="5">
        <f t="shared" si="4"/>
        <v>3.8654259126700068</v>
      </c>
      <c r="Z6" s="5">
        <f t="shared" si="5"/>
        <v>3.6734693877551021</v>
      </c>
      <c r="AA6" s="5">
        <f t="shared" si="6"/>
        <v>6.6523809523809527</v>
      </c>
      <c r="AB6" s="5">
        <f t="shared" si="7"/>
        <v>0.15032211882605584</v>
      </c>
      <c r="AC6" s="5">
        <f t="shared" si="8"/>
        <v>0.2722222222222222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">
      <c r="A7" s="6" t="s">
        <v>32</v>
      </c>
      <c r="B7" s="6" t="s">
        <v>33</v>
      </c>
      <c r="C7" s="6" t="s">
        <v>34</v>
      </c>
      <c r="D7" s="6">
        <v>7834</v>
      </c>
      <c r="E7" s="6">
        <v>8050</v>
      </c>
      <c r="F7" s="6">
        <f t="shared" si="0"/>
        <v>1.0275721215215727</v>
      </c>
      <c r="G7" s="6">
        <v>1092</v>
      </c>
      <c r="H7" s="5">
        <f t="shared" si="1"/>
        <v>13.565217391304348</v>
      </c>
      <c r="I7" s="5">
        <f t="shared" si="9"/>
        <v>7.7251425837975987</v>
      </c>
      <c r="J7" s="6">
        <v>62.7</v>
      </c>
      <c r="K7" s="6">
        <f>AVERAGE('Width and Depths'!C34:C43)</f>
        <v>314</v>
      </c>
      <c r="L7" s="6">
        <f>AVERAGE('Width and Depths'!D34:D43)</f>
        <v>8</v>
      </c>
      <c r="M7" s="6">
        <v>166</v>
      </c>
      <c r="N7" s="6">
        <f>MIN('Width and Depths'!$D34:$D44)</f>
        <v>1</v>
      </c>
      <c r="O7" s="6">
        <v>536</v>
      </c>
      <c r="P7" s="6">
        <f>MAX('Width and Depths'!$D34:$D44)</f>
        <v>20</v>
      </c>
      <c r="Q7" s="5">
        <f t="shared" si="2"/>
        <v>1358</v>
      </c>
      <c r="R7" s="6">
        <v>180</v>
      </c>
      <c r="S7" s="6">
        <v>6.3</v>
      </c>
      <c r="T7" s="6">
        <f>894/2</f>
        <v>447</v>
      </c>
      <c r="U7" s="6">
        <v>35</v>
      </c>
      <c r="V7" s="6">
        <v>9.8000000000000007</v>
      </c>
      <c r="W7" s="6">
        <f t="shared" si="3"/>
        <v>39.25</v>
      </c>
      <c r="X7" s="6">
        <f>1358*2</f>
        <v>2716</v>
      </c>
      <c r="Y7" s="5">
        <f t="shared" si="4"/>
        <v>3.0380313199105147</v>
      </c>
      <c r="Z7" s="5">
        <f t="shared" si="5"/>
        <v>7.5444444444444443</v>
      </c>
      <c r="AA7" s="5">
        <f t="shared" si="6"/>
        <v>12.771428571428572</v>
      </c>
      <c r="AB7" s="5">
        <f t="shared" si="7"/>
        <v>7.829977628635347E-2</v>
      </c>
      <c r="AC7" s="5">
        <f t="shared" si="8"/>
        <v>0.13254786450662739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s="7" customFormat="1" ht="17" thickBot="1" x14ac:dyDescent="0.25">
      <c r="A8" s="7" t="s">
        <v>35</v>
      </c>
      <c r="D8" s="7">
        <v>9627</v>
      </c>
      <c r="E8" s="7">
        <v>11000</v>
      </c>
      <c r="F8" s="7">
        <f t="shared" si="0"/>
        <v>1.1426197153838165</v>
      </c>
      <c r="G8" s="7">
        <v>1556</v>
      </c>
      <c r="H8" s="50">
        <f t="shared" si="1"/>
        <v>14.145454545454545</v>
      </c>
      <c r="I8" s="5">
        <f>DEGREES(ATAN(H8/100))</f>
        <v>8.0513312827066912</v>
      </c>
      <c r="J8" s="7">
        <v>53</v>
      </c>
      <c r="K8" s="7">
        <f>AVERAGE('Width and Depths'!C44:C53)</f>
        <v>250</v>
      </c>
      <c r="L8" s="7">
        <f>AVERAGE('Width and Depths'!D44:D53)</f>
        <v>19.2</v>
      </c>
      <c r="M8" s="7">
        <v>100</v>
      </c>
      <c r="N8" s="7">
        <f>MIN('Width and Depths'!$D44:$D53)</f>
        <v>2</v>
      </c>
      <c r="O8" s="7">
        <v>393</v>
      </c>
      <c r="P8" s="7">
        <f>MAX('Width and Depths'!$D44:$D53)</f>
        <v>60</v>
      </c>
      <c r="Q8" s="5">
        <f t="shared" si="2"/>
        <v>2223</v>
      </c>
      <c r="R8" s="7">
        <v>350</v>
      </c>
      <c r="T8" s="7">
        <v>743</v>
      </c>
      <c r="U8" s="7">
        <v>70</v>
      </c>
      <c r="W8" s="7">
        <f t="shared" si="3"/>
        <v>13.020833333333334</v>
      </c>
      <c r="X8" s="7">
        <v>4446</v>
      </c>
      <c r="Y8" s="5">
        <f t="shared" si="4"/>
        <v>2.9919246298788695</v>
      </c>
      <c r="Z8" s="5">
        <f t="shared" si="5"/>
        <v>6.3514285714285714</v>
      </c>
      <c r="AA8" s="5">
        <f t="shared" si="6"/>
        <v>10.614285714285714</v>
      </c>
      <c r="AB8" s="5">
        <f t="shared" si="7"/>
        <v>9.4212651413189769E-2</v>
      </c>
      <c r="AC8" s="5">
        <f t="shared" si="8"/>
        <v>0.15744489428699954</v>
      </c>
    </row>
    <row r="9" spans="1:1026" s="9" customFormat="1" ht="17" thickBot="1" x14ac:dyDescent="0.25">
      <c r="A9" s="8" t="s">
        <v>36</v>
      </c>
      <c r="F9" s="62"/>
      <c r="G9" s="8"/>
      <c r="H9" s="64"/>
      <c r="I9" s="77"/>
      <c r="J9" s="63"/>
      <c r="Y9" s="5"/>
      <c r="Z9" s="5"/>
      <c r="AA9" s="5"/>
      <c r="AB9" s="5"/>
      <c r="AC9" s="5"/>
    </row>
    <row r="10" spans="1:1026" s="10" customFormat="1" x14ac:dyDescent="0.2">
      <c r="A10" s="10" t="s">
        <v>37</v>
      </c>
      <c r="D10" s="10">
        <v>7619</v>
      </c>
      <c r="E10" s="10">
        <v>9100</v>
      </c>
      <c r="F10" s="10">
        <f>E10/D10</f>
        <v>1.1943824648904056</v>
      </c>
      <c r="G10" s="10">
        <v>1300</v>
      </c>
      <c r="H10" s="10">
        <f>100*G10/E10</f>
        <v>14.285714285714286</v>
      </c>
      <c r="I10" s="10">
        <f>DEGREES(ATAN(H10/100))</f>
        <v>8.13010235415598</v>
      </c>
      <c r="J10" s="10">
        <v>43.2</v>
      </c>
      <c r="K10" s="10">
        <f>AVERAGE('Width and Depths'!H$2:H$12)</f>
        <v>282.90909090909093</v>
      </c>
      <c r="L10" s="10">
        <f>AVERAGE('Width and Depths'!I$2:I$12)</f>
        <v>26.136363636363637</v>
      </c>
      <c r="M10" s="10">
        <f>MIN('Width and Depths'!H2:H$12)</f>
        <v>20</v>
      </c>
      <c r="N10" s="10">
        <f>MIN('Width and Depths'!I$2:I$12)</f>
        <v>2</v>
      </c>
      <c r="O10" s="10">
        <f>MAX('Width and Depths'!H$2:H$12)</f>
        <v>525</v>
      </c>
      <c r="P10" s="10">
        <f>MAX('Width and Depths'!I$2:I$12)</f>
        <v>130</v>
      </c>
      <c r="Q10" s="10">
        <f>2458/2</f>
        <v>1229</v>
      </c>
      <c r="R10" s="10">
        <v>200</v>
      </c>
      <c r="T10" s="10">
        <v>436</v>
      </c>
      <c r="U10" s="10">
        <v>50</v>
      </c>
      <c r="W10" s="10">
        <f>K10/L10</f>
        <v>10.824347826086957</v>
      </c>
      <c r="Y10" s="5">
        <f>Q10/T10</f>
        <v>2.8188073394495414</v>
      </c>
      <c r="Z10" s="5">
        <f>Q10/R10</f>
        <v>6.1449999999999996</v>
      </c>
      <c r="AA10" s="5">
        <f>T10/U10</f>
        <v>8.7200000000000006</v>
      </c>
      <c r="AB10" s="5">
        <f>U10/T10</f>
        <v>0.11467889908256881</v>
      </c>
      <c r="AC10" s="5">
        <f>R10/Q10</f>
        <v>0.16273393002441008</v>
      </c>
    </row>
    <row r="11" spans="1:1026" s="11" customFormat="1" x14ac:dyDescent="0.2">
      <c r="A11" s="11" t="s">
        <v>38</v>
      </c>
      <c r="D11" s="11">
        <v>4099</v>
      </c>
      <c r="E11" s="11">
        <v>4656</v>
      </c>
      <c r="F11" s="11">
        <f>E11/D11</f>
        <v>1.1358868016589412</v>
      </c>
      <c r="G11" s="11">
        <v>686</v>
      </c>
      <c r="H11" s="10">
        <f>100*G11/E11</f>
        <v>14.733676975945016</v>
      </c>
      <c r="I11" s="10">
        <f t="shared" ref="I11:I37" si="10">DEGREES(ATAN(H11/100))</f>
        <v>8.3814735344495741</v>
      </c>
      <c r="J11" s="11">
        <v>44.2</v>
      </c>
      <c r="K11" s="11">
        <f>AVERAGE('Width and Depths'!H$13:H$16)</f>
        <v>532.25</v>
      </c>
      <c r="L11" s="11">
        <f>AVERAGE('Width and Depths'!I$13:I$16)</f>
        <v>81.25</v>
      </c>
      <c r="M11" s="11">
        <f>MIN('Width and Depths'!H13:H$16)</f>
        <v>379</v>
      </c>
      <c r="N11" s="11">
        <f>MIN('Width and Depths'!I$13:I$16)</f>
        <v>51</v>
      </c>
      <c r="O11" s="11">
        <f>MAX('Width and Depths'!H$13:H$16)</f>
        <v>774</v>
      </c>
      <c r="P11" s="11">
        <f>MAX('Width and Depths'!I$13:I$16)</f>
        <v>100</v>
      </c>
      <c r="Q11" s="11">
        <v>1637</v>
      </c>
      <c r="R11" s="11">
        <v>120</v>
      </c>
      <c r="T11" s="11">
        <v>182</v>
      </c>
      <c r="U11" s="11">
        <v>25</v>
      </c>
      <c r="W11" s="11">
        <f>K11/L11</f>
        <v>6.5507692307692311</v>
      </c>
      <c r="Y11" s="5">
        <f>Q11/T11</f>
        <v>8.9945054945054945</v>
      </c>
      <c r="Z11" s="5">
        <f>Q11/R11</f>
        <v>13.641666666666667</v>
      </c>
      <c r="AA11" s="5">
        <f>T11/U11</f>
        <v>7.28</v>
      </c>
      <c r="AB11" s="5">
        <f>U11/T11</f>
        <v>0.13736263736263737</v>
      </c>
      <c r="AC11" s="5">
        <f>R11/Q11</f>
        <v>7.3304825901038484E-2</v>
      </c>
    </row>
    <row r="12" spans="1:1026" s="11" customFormat="1" x14ac:dyDescent="0.2">
      <c r="A12" s="11" t="s">
        <v>27</v>
      </c>
      <c r="D12" s="11">
        <v>4734</v>
      </c>
      <c r="E12" s="11">
        <v>5240</v>
      </c>
      <c r="F12" s="11">
        <f>E12/D12</f>
        <v>1.106886354034643</v>
      </c>
      <c r="G12" s="11">
        <v>1699</v>
      </c>
      <c r="H12" s="10">
        <f>100*G12/E12</f>
        <v>32.423664122137403</v>
      </c>
      <c r="I12" s="10">
        <f t="shared" si="10"/>
        <v>17.964593899202331</v>
      </c>
      <c r="J12" s="11">
        <v>69.599999999999994</v>
      </c>
      <c r="K12" s="11">
        <f>AVERAGE('Width and Depths'!H$19:H$24)</f>
        <v>356</v>
      </c>
      <c r="L12" s="11">
        <f>AVERAGE('Width and Depths'!I$19:I$24)</f>
        <v>35.200000000000003</v>
      </c>
      <c r="M12" s="11">
        <f>MIN('Width and Depths'!H19:H$24)</f>
        <v>264</v>
      </c>
      <c r="N12" s="11">
        <f>MIN('Width and Depths'!I$19:I$24)</f>
        <v>3</v>
      </c>
      <c r="O12" s="11">
        <f>MAX('Width and Depths'!H$19:H$24)</f>
        <v>553</v>
      </c>
      <c r="P12" s="11">
        <f>MAX('Width and Depths'!I$19:I$29)</f>
        <v>116</v>
      </c>
      <c r="Q12" s="11">
        <v>746</v>
      </c>
      <c r="R12" s="11">
        <v>75</v>
      </c>
      <c r="T12" s="11">
        <v>261</v>
      </c>
      <c r="U12" s="11">
        <v>54</v>
      </c>
      <c r="W12" s="11">
        <f>K12/L12</f>
        <v>10.113636363636363</v>
      </c>
      <c r="Y12" s="5">
        <f>Q12/T12</f>
        <v>2.8582375478927204</v>
      </c>
      <c r="Z12" s="5">
        <f>Q12/R12</f>
        <v>9.9466666666666672</v>
      </c>
      <c r="AA12" s="5">
        <f>T12/U12</f>
        <v>4.833333333333333</v>
      </c>
      <c r="AB12" s="5">
        <f>U12/T12</f>
        <v>0.20689655172413793</v>
      </c>
      <c r="AC12" s="5">
        <f>R12/Q12</f>
        <v>0.10053619302949061</v>
      </c>
    </row>
    <row r="13" spans="1:1026" s="12" customFormat="1" ht="17" thickBot="1" x14ac:dyDescent="0.25">
      <c r="A13" s="12" t="s">
        <v>29</v>
      </c>
      <c r="D13" s="12">
        <v>22760</v>
      </c>
      <c r="E13" s="12">
        <v>27200</v>
      </c>
      <c r="F13" s="12">
        <f>E13/D13</f>
        <v>1.195079086115993</v>
      </c>
      <c r="G13" s="12">
        <v>2897</v>
      </c>
      <c r="H13" s="49">
        <f>100*G13/E13</f>
        <v>10.650735294117647</v>
      </c>
      <c r="I13" s="10">
        <f t="shared" si="10"/>
        <v>6.0795026865725719</v>
      </c>
      <c r="J13" s="12">
        <v>52.6</v>
      </c>
      <c r="K13" s="12">
        <f>AVERAGE('Width and Depths'!H$20:H$23)</f>
        <v>361</v>
      </c>
      <c r="L13" s="12">
        <f>AVERAGE('Width and Depths'!I$20:I$23)</f>
        <v>29</v>
      </c>
      <c r="M13" s="12">
        <f>MIN('Width and Depths'!H20:H$23)</f>
        <v>264</v>
      </c>
      <c r="N13" s="12">
        <f>MIN('Width and Depths'!I$20:I$23)</f>
        <v>5</v>
      </c>
      <c r="O13" s="12">
        <f>MAX('Width and Depths'!H$20:H$23)</f>
        <v>553</v>
      </c>
      <c r="P13" s="12">
        <f>MAX('Width and Depths'!I$20:I$23)</f>
        <v>75</v>
      </c>
      <c r="Q13" s="12">
        <v>1676</v>
      </c>
      <c r="R13" s="12">
        <v>350</v>
      </c>
      <c r="T13" s="12">
        <v>815</v>
      </c>
      <c r="U13" s="12">
        <v>143</v>
      </c>
      <c r="W13" s="12">
        <f>K13/L13</f>
        <v>12.448275862068966</v>
      </c>
      <c r="Y13" s="5">
        <f>Q13/T13</f>
        <v>2.0564417177914112</v>
      </c>
      <c r="Z13" s="5">
        <f>Q13/R13</f>
        <v>4.7885714285714283</v>
      </c>
      <c r="AA13" s="5">
        <f>T13/U13</f>
        <v>5.6993006993006992</v>
      </c>
      <c r="AB13" s="5">
        <f>U13/T13</f>
        <v>0.17546012269938649</v>
      </c>
      <c r="AC13" s="5">
        <f>R13/Q13</f>
        <v>0.20883054892601433</v>
      </c>
    </row>
    <row r="14" spans="1:1026" s="14" customFormat="1" ht="17" thickBot="1" x14ac:dyDescent="0.25">
      <c r="A14" s="13" t="s">
        <v>39</v>
      </c>
      <c r="E14" s="70"/>
      <c r="F14" s="13"/>
      <c r="I14" s="10"/>
      <c r="K14" s="72"/>
      <c r="L14" s="71"/>
      <c r="Y14" s="5"/>
      <c r="Z14" s="5"/>
      <c r="AA14" s="5"/>
      <c r="AB14" s="5"/>
      <c r="AC14" s="5"/>
    </row>
    <row r="15" spans="1:1026" s="15" customFormat="1" x14ac:dyDescent="0.2">
      <c r="A15" s="15" t="s">
        <v>40</v>
      </c>
      <c r="D15" s="15">
        <v>5087</v>
      </c>
      <c r="E15" s="15">
        <v>5930</v>
      </c>
      <c r="F15" s="15">
        <f>E15/D15</f>
        <v>1.1657165323373304</v>
      </c>
      <c r="G15" s="15">
        <v>526</v>
      </c>
      <c r="H15" s="15">
        <f>100*G15/E15</f>
        <v>8.8701517706576727</v>
      </c>
      <c r="I15" s="10">
        <f t="shared" si="10"/>
        <v>5.068956265531309</v>
      </c>
      <c r="J15" s="15">
        <v>37.299999999999997</v>
      </c>
      <c r="K15" s="15">
        <f>AVERAGE('Width and Depths'!L$2:L$7)</f>
        <v>305</v>
      </c>
      <c r="L15" s="15">
        <f>AVERAGE('Width and Depths'!M$2:M$7)</f>
        <v>19.833333333333332</v>
      </c>
      <c r="M15" s="15">
        <f>MIN('Width and Depths'!L$2:L7)</f>
        <v>192</v>
      </c>
      <c r="N15" s="15">
        <f>MIN('Width and Depths'!$M$2:$M$7)</f>
        <v>11</v>
      </c>
      <c r="O15" s="15">
        <f>MAX('Width and Depths'!L$2:L$7)</f>
        <v>443</v>
      </c>
      <c r="P15" s="15">
        <f>MAX('Width and Depths'!$M$2:$M$7)</f>
        <v>30</v>
      </c>
      <c r="Q15" s="15">
        <v>1220</v>
      </c>
      <c r="R15" s="15">
        <v>150</v>
      </c>
      <c r="T15" s="15">
        <v>270</v>
      </c>
      <c r="U15" s="15">
        <v>56</v>
      </c>
      <c r="W15" s="15">
        <f>K15/L15</f>
        <v>15.378151260504202</v>
      </c>
      <c r="Y15" s="5">
        <f>Q15/T15</f>
        <v>4.5185185185185182</v>
      </c>
      <c r="Z15" s="5">
        <f>Q15/R15</f>
        <v>8.1333333333333329</v>
      </c>
      <c r="AA15" s="5">
        <f>T15/U15</f>
        <v>4.8214285714285712</v>
      </c>
      <c r="AB15" s="5">
        <f>U15/T15</f>
        <v>0.2074074074074074</v>
      </c>
      <c r="AC15" s="5">
        <f>R15/Q15</f>
        <v>0.12295081967213115</v>
      </c>
    </row>
    <row r="16" spans="1:1026" s="16" customFormat="1" x14ac:dyDescent="0.2">
      <c r="A16" s="16" t="s">
        <v>32</v>
      </c>
      <c r="D16" s="16">
        <v>4310</v>
      </c>
      <c r="E16" s="16">
        <v>4660</v>
      </c>
      <c r="F16" s="16">
        <f>E16/D16</f>
        <v>1.0812064965197217</v>
      </c>
      <c r="G16" s="16">
        <v>745</v>
      </c>
      <c r="H16" s="15">
        <f>100*G16/E16</f>
        <v>15.987124463519313</v>
      </c>
      <c r="I16" s="10">
        <f t="shared" si="10"/>
        <v>9.0830837781358404</v>
      </c>
      <c r="J16" s="16">
        <v>54.7</v>
      </c>
      <c r="K16" s="16">
        <f>AVERAGE('Width and Depths'!L$8:L$14)</f>
        <v>298.85714285714283</v>
      </c>
      <c r="L16" s="16">
        <f>AVERAGE('Width and Depths'!M$8:M$14)</f>
        <v>37.285714285714285</v>
      </c>
      <c r="M16" s="16">
        <f>MIN('Width and Depths'!L8:L$14)</f>
        <v>217</v>
      </c>
      <c r="N16" s="16">
        <f>MIN('Width and Depths'!$M$8:$M$14)</f>
        <v>11</v>
      </c>
      <c r="O16" s="16">
        <f>MAX('Width and Depths'!L$8:L$14)</f>
        <v>404</v>
      </c>
      <c r="P16" s="16">
        <f>MAX('Width and Depths'!$M$8:$M$14)</f>
        <v>78</v>
      </c>
      <c r="Q16" s="16">
        <v>1975</v>
      </c>
      <c r="R16" s="16">
        <v>215</v>
      </c>
      <c r="W16" s="16">
        <f>K16/L16</f>
        <v>8.0153256704980844</v>
      </c>
      <c r="Y16" s="5">
        <v>1</v>
      </c>
      <c r="Z16" s="5">
        <f>Q16/R16</f>
        <v>9.1860465116279073</v>
      </c>
      <c r="AA16" s="5"/>
      <c r="AB16" s="5"/>
      <c r="AC16" s="5">
        <f>R16/Q16</f>
        <v>0.10886075949367088</v>
      </c>
    </row>
    <row r="17" spans="1:1026" x14ac:dyDescent="0.2">
      <c r="A17" s="16" t="s">
        <v>41</v>
      </c>
      <c r="B17" s="16"/>
      <c r="C17" s="16"/>
      <c r="D17" s="16">
        <v>2939</v>
      </c>
      <c r="E17" s="16">
        <v>3160</v>
      </c>
      <c r="F17" s="16">
        <f>E17/D17</f>
        <v>1.0751956447771351</v>
      </c>
      <c r="G17" s="16">
        <v>450</v>
      </c>
      <c r="H17" s="15">
        <f>100*G17/E17</f>
        <v>14.240506329113924</v>
      </c>
      <c r="I17" s="10">
        <f t="shared" si="10"/>
        <v>8.104716543006715</v>
      </c>
      <c r="J17" s="16">
        <v>38.4</v>
      </c>
      <c r="K17" s="16">
        <f>AVERAGE('Width and Depths'!L$15:L$19)</f>
        <v>311.60000000000002</v>
      </c>
      <c r="L17" s="16">
        <f>AVERAGE('Width and Depths'!M$15:M$19)</f>
        <v>32</v>
      </c>
      <c r="M17" s="16">
        <f>MIN('Width and Depths'!L$15:L19)</f>
        <v>276</v>
      </c>
      <c r="N17" s="16">
        <f>MIN('Width and Depths'!$M$15:$M$18)</f>
        <v>27</v>
      </c>
      <c r="O17" s="16">
        <f>MAX('Width and Depths'!L$15:L$18)</f>
        <v>368</v>
      </c>
      <c r="P17" s="16">
        <f>MAX('Width and Depths'!$M$15:$M$18)</f>
        <v>48</v>
      </c>
      <c r="Q17" s="16">
        <v>500</v>
      </c>
      <c r="R17" s="16">
        <v>50</v>
      </c>
      <c r="S17" s="16"/>
      <c r="T17" s="16">
        <v>558</v>
      </c>
      <c r="U17" s="16">
        <v>85</v>
      </c>
      <c r="V17" s="16"/>
      <c r="W17" s="16">
        <f>K17/L17</f>
        <v>9.7375000000000007</v>
      </c>
      <c r="X17"/>
      <c r="Y17" s="5">
        <f>Q17/T17</f>
        <v>0.89605734767025091</v>
      </c>
      <c r="Z17" s="5">
        <f>Q17/R17</f>
        <v>10</v>
      </c>
      <c r="AA17" s="5">
        <f>T17/U17</f>
        <v>6.5647058823529409</v>
      </c>
      <c r="AB17" s="5">
        <f>U17/T17</f>
        <v>0.15232974910394265</v>
      </c>
      <c r="AC17" s="5">
        <f>R17/Q17</f>
        <v>0.1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s="17" customFormat="1" ht="17" thickBot="1" x14ac:dyDescent="0.25">
      <c r="A18" s="17" t="s">
        <v>29</v>
      </c>
      <c r="D18" s="17">
        <v>3196</v>
      </c>
      <c r="E18" s="17">
        <v>3400</v>
      </c>
      <c r="F18" s="17">
        <f>E18/D18</f>
        <v>1.0638297872340425</v>
      </c>
      <c r="G18" s="17">
        <v>574</v>
      </c>
      <c r="H18" s="67">
        <f>100*G18/E18</f>
        <v>16.882352941176471</v>
      </c>
      <c r="I18" s="10">
        <f t="shared" si="10"/>
        <v>9.5825191471087763</v>
      </c>
      <c r="J18" s="17">
        <v>60.9</v>
      </c>
      <c r="K18" s="17">
        <f>AVERAGE('Width and Depths'!$L20:$L$24)</f>
        <v>423</v>
      </c>
      <c r="L18" s="16">
        <f>AVERAGE('Width and Depths'!$M20:$M$24)</f>
        <v>39</v>
      </c>
      <c r="M18" s="16">
        <f>MIN('Width and Depths'!$L20:$L$24)</f>
        <v>378</v>
      </c>
      <c r="N18" s="16">
        <f>MIN('Width and Depths'!$M20:$M$24)</f>
        <v>25</v>
      </c>
      <c r="O18" s="16">
        <f>MAX('Width and Depths'!$L20:$L$24)</f>
        <v>456</v>
      </c>
      <c r="P18" s="16">
        <f>MAX('Width and Depths'!$M20:$M$24)</f>
        <v>61</v>
      </c>
      <c r="Q18" s="17">
        <v>1137</v>
      </c>
      <c r="R18" s="17">
        <v>137</v>
      </c>
      <c r="V18" s="16"/>
      <c r="W18" s="16">
        <f>K18/L18</f>
        <v>10.846153846153847</v>
      </c>
      <c r="Y18" s="5">
        <v>1</v>
      </c>
      <c r="Z18" s="5">
        <f>Q18/R18</f>
        <v>8.2992700729927016</v>
      </c>
      <c r="AA18" s="5"/>
      <c r="AB18" s="5"/>
      <c r="AC18" s="5">
        <f>R18/Q18</f>
        <v>0.12049252418645559</v>
      </c>
    </row>
    <row r="19" spans="1:1026" s="19" customFormat="1" ht="17" thickBot="1" x14ac:dyDescent="0.25">
      <c r="A19" s="18" t="s">
        <v>42</v>
      </c>
      <c r="F19" s="65"/>
      <c r="G19" s="68"/>
      <c r="H19" s="21"/>
      <c r="I19" s="10"/>
      <c r="J19" s="21"/>
      <c r="K19" s="69"/>
      <c r="L19" s="66"/>
      <c r="M19" s="21"/>
      <c r="N19" s="21"/>
      <c r="O19" s="21"/>
      <c r="P19" s="21"/>
      <c r="V19" s="21"/>
      <c r="W19" s="21"/>
      <c r="Y19" s="5"/>
      <c r="Z19" s="5"/>
      <c r="AA19" s="5"/>
      <c r="AB19" s="5"/>
      <c r="AC19" s="5"/>
    </row>
    <row r="20" spans="1:1026" s="22" customFormat="1" x14ac:dyDescent="0.2">
      <c r="A20" s="22" t="s">
        <v>43</v>
      </c>
      <c r="D20" s="22">
        <v>6985</v>
      </c>
      <c r="E20" s="22">
        <v>7760</v>
      </c>
      <c r="F20" s="22">
        <f t="shared" ref="F20:F25" si="11">E20/D20</f>
        <v>1.1109520400858983</v>
      </c>
      <c r="G20" s="23">
        <v>1357</v>
      </c>
      <c r="H20" s="23">
        <f t="shared" ref="H20:H25" si="12">100*G20/E20</f>
        <v>17.487113402061855</v>
      </c>
      <c r="I20" s="10">
        <f t="shared" si="10"/>
        <v>9.9190812730386604</v>
      </c>
      <c r="J20" s="23">
        <v>68.3</v>
      </c>
      <c r="K20" s="23">
        <f>AVERAGE('Width and Depths'!O$2:O$7)</f>
        <v>662.33333333333337</v>
      </c>
      <c r="L20" s="23">
        <f>AVERAGE('Width and Depths'!P$2:P7)</f>
        <v>70.666666666666671</v>
      </c>
      <c r="M20" s="23">
        <f>MIN('Width and Depths'!P$2:P7)</f>
        <v>25</v>
      </c>
      <c r="N20" s="23">
        <f>MIN('Width and Depths'!P$2:$P$7)</f>
        <v>25</v>
      </c>
      <c r="O20" s="23">
        <f>MAX('Width and Depths'!O$2:O7)</f>
        <v>1230</v>
      </c>
      <c r="P20" s="23">
        <f>MAX('Width and Depths'!$P$2:$P$7)</f>
        <v>170</v>
      </c>
      <c r="Q20" s="22">
        <v>4292</v>
      </c>
      <c r="R20" s="22">
        <v>342</v>
      </c>
      <c r="V20" s="23"/>
      <c r="W20" s="23">
        <f t="shared" ref="W20:W25" si="13">K20/L20</f>
        <v>9.3726415094339615</v>
      </c>
      <c r="Y20" s="5">
        <v>1</v>
      </c>
      <c r="Z20" s="5">
        <f t="shared" ref="Z20:Z25" si="14">Q20/R20</f>
        <v>12.549707602339181</v>
      </c>
      <c r="AA20" s="5"/>
      <c r="AB20" s="5"/>
      <c r="AC20" s="5">
        <f t="shared" ref="AC20:AC25" si="15">R20/Q20</f>
        <v>7.9683131407269334E-2</v>
      </c>
    </row>
    <row r="21" spans="1:1026" s="24" customFormat="1" ht="18" customHeight="1" x14ac:dyDescent="0.2">
      <c r="A21" s="24" t="s">
        <v>44</v>
      </c>
      <c r="D21" s="24">
        <v>4165</v>
      </c>
      <c r="E21" s="24">
        <v>4690</v>
      </c>
      <c r="F21" s="24">
        <f t="shared" si="11"/>
        <v>1.1260504201680672</v>
      </c>
      <c r="G21" s="20">
        <v>1013</v>
      </c>
      <c r="H21" s="20">
        <f t="shared" si="12"/>
        <v>21.599147121535182</v>
      </c>
      <c r="I21" s="10">
        <f t="shared" si="10"/>
        <v>12.188166320525955</v>
      </c>
      <c r="J21" s="20">
        <v>68.599999999999994</v>
      </c>
      <c r="K21" s="20">
        <f>AVERAGE('Width and Depths'!O$8:O$14)</f>
        <v>643.14285714285711</v>
      </c>
      <c r="L21" s="20">
        <f>AVERAGE('Width and Depths'!P8:P$14)</f>
        <v>63.857142857142854</v>
      </c>
      <c r="M21" s="20">
        <f>MIN('Width and Depths'!P8:P$14)</f>
        <v>29</v>
      </c>
      <c r="N21" s="20">
        <f>MIN('Width and Depths'!$P$8:$P$14)</f>
        <v>29</v>
      </c>
      <c r="O21" s="20">
        <f>MAX('Width and Depths'!O8:O$14)</f>
        <v>1450</v>
      </c>
      <c r="P21" s="20">
        <f>MAX('Width and Depths'!$P$8:$P$14)</f>
        <v>99</v>
      </c>
      <c r="Q21" s="24">
        <v>3000</v>
      </c>
      <c r="R21" s="24">
        <v>433</v>
      </c>
      <c r="V21" s="20"/>
      <c r="W21" s="20">
        <f t="shared" si="13"/>
        <v>10.07158836689038</v>
      </c>
      <c r="Y21" s="5">
        <v>1</v>
      </c>
      <c r="Z21" s="5">
        <f t="shared" si="14"/>
        <v>6.9284064665127021</v>
      </c>
      <c r="AA21" s="5"/>
      <c r="AB21" s="5"/>
      <c r="AC21" s="5">
        <f t="shared" si="15"/>
        <v>0.14433333333333334</v>
      </c>
    </row>
    <row r="22" spans="1:1026" s="24" customFormat="1" ht="18" customHeight="1" x14ac:dyDescent="0.2">
      <c r="A22" s="24" t="s">
        <v>41</v>
      </c>
      <c r="D22" s="24">
        <v>3876</v>
      </c>
      <c r="E22" s="24">
        <v>4560</v>
      </c>
      <c r="F22" s="24">
        <f t="shared" si="11"/>
        <v>1.1764705882352942</v>
      </c>
      <c r="G22" s="20">
        <v>874</v>
      </c>
      <c r="H22" s="20">
        <f t="shared" si="12"/>
        <v>19.166666666666668</v>
      </c>
      <c r="I22" s="10">
        <f t="shared" si="10"/>
        <v>10.850104629797377</v>
      </c>
      <c r="J22" s="20">
        <v>67</v>
      </c>
      <c r="K22" s="20">
        <f>AVERAGE('Width and Depths'!O$20:O$24)</f>
        <v>179.2</v>
      </c>
      <c r="L22" s="20">
        <f>AVERAGE('Width and Depths'!P20:P$25)</f>
        <v>32</v>
      </c>
      <c r="M22" s="20">
        <f>MIN('Width and Depths'!P20:P$25)</f>
        <v>21</v>
      </c>
      <c r="N22" s="20">
        <f>MIN('Width and Depths'!$P$20:$P$25)</f>
        <v>21</v>
      </c>
      <c r="O22" s="20">
        <f>MAX('Width and Depths'!O20:O$25)</f>
        <v>285</v>
      </c>
      <c r="P22" s="20">
        <f>MAX('Width and Depths'!$P$20:$P$25)</f>
        <v>59</v>
      </c>
      <c r="Q22" s="24">
        <v>700</v>
      </c>
      <c r="R22" s="24">
        <v>85</v>
      </c>
      <c r="T22" s="24">
        <v>181</v>
      </c>
      <c r="U22" s="24">
        <v>31</v>
      </c>
      <c r="V22" s="20"/>
      <c r="W22" s="20">
        <f t="shared" si="13"/>
        <v>5.6</v>
      </c>
      <c r="Y22" s="5">
        <f>Q22/T22</f>
        <v>3.867403314917127</v>
      </c>
      <c r="Z22" s="5">
        <f t="shared" si="14"/>
        <v>8.235294117647058</v>
      </c>
      <c r="AA22" s="5">
        <f>T22/U22</f>
        <v>5.838709677419355</v>
      </c>
      <c r="AB22" s="5">
        <f>U22/T22</f>
        <v>0.17127071823204421</v>
      </c>
      <c r="AC22" s="5">
        <f t="shared" si="15"/>
        <v>0.12142857142857143</v>
      </c>
    </row>
    <row r="23" spans="1:1026" s="24" customFormat="1" ht="18" customHeight="1" x14ac:dyDescent="0.2">
      <c r="A23" s="24" t="s">
        <v>35</v>
      </c>
      <c r="D23" s="24">
        <v>2159</v>
      </c>
      <c r="E23" s="24">
        <v>2440</v>
      </c>
      <c r="F23" s="24">
        <f t="shared" si="11"/>
        <v>1.1301528485409913</v>
      </c>
      <c r="G23" s="20">
        <v>651</v>
      </c>
      <c r="H23" s="20">
        <f t="shared" si="12"/>
        <v>26.680327868852459</v>
      </c>
      <c r="I23" s="10">
        <f t="shared" si="10"/>
        <v>14.93872456758792</v>
      </c>
      <c r="J23" s="20">
        <v>88</v>
      </c>
      <c r="K23" s="20">
        <f>AVERAGE('Width and Depths'!O$15:O$18)</f>
        <v>265.25</v>
      </c>
      <c r="L23" s="20">
        <f>AVERAGE('Width and Depths'!P$15:P18)</f>
        <v>29</v>
      </c>
      <c r="M23" s="20">
        <f>MIN('Width and Depths'!O$15:O18)</f>
        <v>192</v>
      </c>
      <c r="N23" s="20">
        <f>MIN('Width and Depths'!$P$15:$P$18)</f>
        <v>9</v>
      </c>
      <c r="O23" s="20">
        <f>MAX('Width and Depths'!O15:O$18)</f>
        <v>319</v>
      </c>
      <c r="P23" s="20">
        <f>MAX('Width and Depths'!$P$15:$P$18)</f>
        <v>60</v>
      </c>
      <c r="Q23" s="24">
        <v>493</v>
      </c>
      <c r="R23" s="24">
        <v>114</v>
      </c>
      <c r="S23" s="34"/>
      <c r="T23"/>
      <c r="U23"/>
      <c r="V23" s="20"/>
      <c r="W23" s="20">
        <f t="shared" si="13"/>
        <v>9.1465517241379306</v>
      </c>
      <c r="Y23" s="5">
        <v>1</v>
      </c>
      <c r="Z23" s="5">
        <f t="shared" si="14"/>
        <v>4.3245614035087723</v>
      </c>
      <c r="AA23" s="5"/>
      <c r="AB23" s="5"/>
      <c r="AC23" s="5">
        <f t="shared" si="15"/>
        <v>0.23123732251521298</v>
      </c>
    </row>
    <row r="24" spans="1:1026" ht="18" customHeight="1" x14ac:dyDescent="0.2">
      <c r="A24" s="24" t="s">
        <v>27</v>
      </c>
      <c r="B24"/>
      <c r="C24"/>
      <c r="D24" s="24">
        <v>2505</v>
      </c>
      <c r="E24" s="24">
        <v>2940</v>
      </c>
      <c r="F24" s="24">
        <f t="shared" si="11"/>
        <v>1.1736526946107784</v>
      </c>
      <c r="G24" s="20">
        <v>620</v>
      </c>
      <c r="H24" s="20">
        <f t="shared" si="12"/>
        <v>21.088435374149661</v>
      </c>
      <c r="I24" s="10">
        <f t="shared" si="10"/>
        <v>11.908300061317567</v>
      </c>
      <c r="J24" s="20"/>
      <c r="K24" s="20">
        <f>AVERAGE('Width and Depths'!O$19:O$24)</f>
        <v>180.16666666666666</v>
      </c>
      <c r="L24" s="20">
        <f>AVERAGE('Width and Depths'!P$19:P24)</f>
        <v>30.5</v>
      </c>
      <c r="M24" s="20">
        <f>MIN('Width and Depths'!P$19:P24)</f>
        <v>13</v>
      </c>
      <c r="N24" s="20">
        <f>MIN('Width and Depths'!P$19:$P$24)</f>
        <v>13</v>
      </c>
      <c r="O24" s="20">
        <f>MAX('Width and Depths'!O$19:O24)</f>
        <v>285</v>
      </c>
      <c r="P24" s="20">
        <f>MAX('Width and Depths'!$P$19:$P$24)</f>
        <v>59</v>
      </c>
      <c r="Q24" s="24">
        <v>890</v>
      </c>
      <c r="R24" s="24">
        <v>162</v>
      </c>
      <c r="S24" s="24"/>
      <c r="T24" s="24">
        <v>181</v>
      </c>
      <c r="U24" s="24">
        <v>58</v>
      </c>
      <c r="V24" s="20"/>
      <c r="W24" s="20">
        <f t="shared" si="13"/>
        <v>5.9071038251366117</v>
      </c>
      <c r="X24"/>
      <c r="Y24" s="5">
        <f>Q24/T24</f>
        <v>4.9171270718232041</v>
      </c>
      <c r="Z24" s="5">
        <f t="shared" si="14"/>
        <v>5.4938271604938276</v>
      </c>
      <c r="AA24" s="5">
        <f>T24/U24</f>
        <v>3.1206896551724137</v>
      </c>
      <c r="AB24" s="5">
        <f>U24/T24</f>
        <v>0.32044198895027626</v>
      </c>
      <c r="AC24" s="5">
        <f t="shared" si="15"/>
        <v>0.18202247191011237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s="25" customFormat="1" ht="17" thickBot="1" x14ac:dyDescent="0.25">
      <c r="A25" s="25" t="s">
        <v>45</v>
      </c>
      <c r="D25" s="25">
        <v>2809</v>
      </c>
      <c r="E25" s="25">
        <v>3370</v>
      </c>
      <c r="F25" s="25">
        <f t="shared" si="11"/>
        <v>1.1997152011391954</v>
      </c>
      <c r="G25" s="26">
        <v>945</v>
      </c>
      <c r="H25" s="26">
        <f t="shared" si="12"/>
        <v>28.041543026706233</v>
      </c>
      <c r="I25" s="10">
        <f t="shared" si="10"/>
        <v>15.664316034975533</v>
      </c>
      <c r="J25" s="26">
        <v>67</v>
      </c>
      <c r="K25" s="26">
        <f>AVERAGE('Width and Depths'!O$25:O$31)</f>
        <v>387.28571428571428</v>
      </c>
      <c r="L25" s="26">
        <f>AVERAGE('Width and Depths'!P$25:P31)</f>
        <v>60.142857142857146</v>
      </c>
      <c r="M25" s="26">
        <f>MIN('Width and Depths'!P$25:P31)</f>
        <v>22</v>
      </c>
      <c r="N25" s="26">
        <f>MIN('Width and Depths'!P$25:P$31)</f>
        <v>22</v>
      </c>
      <c r="O25" s="26">
        <f>MAX('Width and Depths'!O$25:O31)</f>
        <v>700</v>
      </c>
      <c r="P25" s="26">
        <f>MAX('Width and Depths'!$P$25:$P$31)</f>
        <v>118</v>
      </c>
      <c r="Q25" s="25">
        <v>1980</v>
      </c>
      <c r="R25" s="25">
        <v>475</v>
      </c>
      <c r="T25" s="25">
        <v>600</v>
      </c>
      <c r="U25" s="25">
        <v>190</v>
      </c>
      <c r="V25" s="26"/>
      <c r="W25" s="26">
        <f t="shared" si="13"/>
        <v>6.4394299287410925</v>
      </c>
      <c r="Y25" s="5">
        <f>Q25/T25</f>
        <v>3.3</v>
      </c>
      <c r="Z25" s="5">
        <f t="shared" si="14"/>
        <v>4.1684210526315786</v>
      </c>
      <c r="AA25" s="5">
        <f>T25/U25</f>
        <v>3.1578947368421053</v>
      </c>
      <c r="AB25" s="5">
        <f>U25/T25</f>
        <v>0.31666666666666665</v>
      </c>
      <c r="AC25" s="5">
        <f t="shared" si="15"/>
        <v>0.23989898989898989</v>
      </c>
    </row>
    <row r="26" spans="1:1026" s="9" customFormat="1" ht="17" thickBot="1" x14ac:dyDescent="0.25">
      <c r="A26" s="8" t="s">
        <v>46</v>
      </c>
      <c r="C26" s="62"/>
      <c r="D26" s="8"/>
      <c r="I26" s="10"/>
      <c r="K26" s="64"/>
      <c r="L26" s="63"/>
      <c r="Y26" s="5"/>
      <c r="Z26" s="5"/>
      <c r="AA26" s="5"/>
      <c r="AB26" s="5"/>
      <c r="AC26" s="5"/>
    </row>
    <row r="27" spans="1:1026" s="10" customFormat="1" x14ac:dyDescent="0.2">
      <c r="A27" s="10" t="s">
        <v>37</v>
      </c>
      <c r="D27" s="10">
        <v>2836</v>
      </c>
      <c r="E27" s="10">
        <v>3290</v>
      </c>
      <c r="F27" s="10">
        <f>E27/D27</f>
        <v>1.1600846262341327</v>
      </c>
      <c r="G27" s="10">
        <v>495</v>
      </c>
      <c r="H27" s="10">
        <f>100*G27/E27</f>
        <v>15.045592705167174</v>
      </c>
      <c r="I27" s="10">
        <f t="shared" si="10"/>
        <v>8.5563117684008532</v>
      </c>
      <c r="J27" s="10">
        <v>65</v>
      </c>
      <c r="K27" s="10">
        <f>AVERAGE('Width and Depths'!R$2:R8)</f>
        <v>189.57142857142858</v>
      </c>
      <c r="L27" s="10">
        <f>AVERAGE('Width and Depths'!$S$2:$S8)</f>
        <v>29.714285714285715</v>
      </c>
      <c r="M27" s="10">
        <f>MIN('Width and Depths'!$R$2:$R8)</f>
        <v>89</v>
      </c>
      <c r="N27" s="10">
        <f>MIN('Width and Depths'!$S$2:$S8)</f>
        <v>9</v>
      </c>
      <c r="O27" s="10">
        <f>MAX('Width and Depths'!$R$2:$R8)</f>
        <v>328</v>
      </c>
      <c r="P27" s="10">
        <f>MAX('Width and Depths'!$S$2:$S8)</f>
        <v>60</v>
      </c>
      <c r="Q27" s="10">
        <v>1075</v>
      </c>
      <c r="R27" s="10">
        <v>145</v>
      </c>
      <c r="T27" s="10">
        <v>216</v>
      </c>
      <c r="U27" s="10">
        <v>65</v>
      </c>
      <c r="W27" s="10">
        <f>K27/L27</f>
        <v>6.3798076923076925</v>
      </c>
      <c r="Y27" s="5">
        <f>Q27/T27</f>
        <v>4.9768518518518521</v>
      </c>
      <c r="Z27" s="5">
        <f>Q27/R27</f>
        <v>7.4137931034482758</v>
      </c>
      <c r="AA27" s="5">
        <f>T27/U27</f>
        <v>3.3230769230769233</v>
      </c>
      <c r="AB27" s="5">
        <f>U27/T27</f>
        <v>0.30092592592592593</v>
      </c>
      <c r="AC27" s="5">
        <f>R27/Q27</f>
        <v>0.13488372093023257</v>
      </c>
    </row>
    <row r="28" spans="1:1026" s="11" customFormat="1" x14ac:dyDescent="0.2">
      <c r="A28" s="11" t="s">
        <v>32</v>
      </c>
      <c r="D28" s="11">
        <v>2361</v>
      </c>
      <c r="E28" s="11">
        <v>3030</v>
      </c>
      <c r="F28" s="11">
        <f>E28/D28</f>
        <v>1.2833545108005082</v>
      </c>
      <c r="G28" s="11">
        <v>603</v>
      </c>
      <c r="H28" s="10">
        <f>100*G28/E28</f>
        <v>19.900990099009903</v>
      </c>
      <c r="I28" s="10">
        <f t="shared" si="10"/>
        <v>11.255375473261594</v>
      </c>
      <c r="J28" s="11">
        <v>75</v>
      </c>
      <c r="K28" s="11">
        <f>AVERAGE('Width and Depths'!R$8:R20)</f>
        <v>110.07692307692308</v>
      </c>
      <c r="L28" s="11">
        <f>AVERAGE('Width and Depths'!$S$8:$S20)</f>
        <v>16.53846153846154</v>
      </c>
      <c r="M28" s="11">
        <f>MIN('Width and Depths'!$R$8:$R20)</f>
        <v>81</v>
      </c>
      <c r="N28" s="11">
        <f>MIN('Width and Depths'!$S$8:$S20)</f>
        <v>7</v>
      </c>
      <c r="O28" s="11">
        <f>MAX('Width and Depths'!$R$8:$R20)</f>
        <v>187</v>
      </c>
      <c r="P28" s="11">
        <f>MAX('Width and Depths'!$S$8:$S20)</f>
        <v>36</v>
      </c>
      <c r="Q28" s="11">
        <v>917</v>
      </c>
      <c r="R28" s="11">
        <v>100</v>
      </c>
      <c r="T28" s="11">
        <v>246</v>
      </c>
      <c r="U28" s="11">
        <v>54</v>
      </c>
      <c r="W28" s="11">
        <f>K28/L28</f>
        <v>6.655813953488372</v>
      </c>
      <c r="Y28" s="5">
        <f>Q28/T28</f>
        <v>3.7276422764227641</v>
      </c>
      <c r="Z28" s="5">
        <f>Q28/R28</f>
        <v>9.17</v>
      </c>
      <c r="AA28" s="5">
        <f>T28/U28</f>
        <v>4.5555555555555554</v>
      </c>
      <c r="AB28" s="5">
        <f>U28/T28</f>
        <v>0.21951219512195122</v>
      </c>
      <c r="AC28" s="5">
        <f>R28/Q28</f>
        <v>0.10905125408942203</v>
      </c>
    </row>
    <row r="29" spans="1:1026" s="11" customFormat="1" x14ac:dyDescent="0.2">
      <c r="A29" s="11" t="s">
        <v>29</v>
      </c>
      <c r="D29" s="11">
        <v>2657</v>
      </c>
      <c r="E29" s="11">
        <v>2800</v>
      </c>
      <c r="F29" s="11">
        <f>E29/D29</f>
        <v>1.0538200978547234</v>
      </c>
      <c r="G29" s="11">
        <v>450</v>
      </c>
      <c r="H29" s="10">
        <f>100*G29/E29</f>
        <v>16.071428571428573</v>
      </c>
      <c r="I29" s="10">
        <f t="shared" si="10"/>
        <v>9.1301764822786939</v>
      </c>
      <c r="J29" s="11">
        <v>61.8</v>
      </c>
      <c r="K29" s="11">
        <f>AVERAGE('Width and Depths'!R$21:R27)</f>
        <v>177.85714285714286</v>
      </c>
      <c r="L29" s="11">
        <f>AVERAGE('Width and Depths'!$S$21:$S27)</f>
        <v>29.585714285714285</v>
      </c>
      <c r="M29" s="11">
        <f>MIN('Width and Depths'!$R$21:$R27)</f>
        <v>102</v>
      </c>
      <c r="N29" s="11">
        <f>MIN('Width and Depths'!$S$21:$S27)</f>
        <v>5</v>
      </c>
      <c r="O29" s="11">
        <f>MAX('Width and Depths'!$R$21:$R27)</f>
        <v>300</v>
      </c>
      <c r="P29" s="11">
        <f>MAX('Width and Depths'!$S$21:$S27)</f>
        <v>62</v>
      </c>
      <c r="Q29" s="11">
        <v>700</v>
      </c>
      <c r="R29" s="11">
        <v>93</v>
      </c>
      <c r="T29" s="11">
        <v>238</v>
      </c>
      <c r="U29" s="11">
        <v>56</v>
      </c>
      <c r="W29" s="11">
        <f>K29/L29</f>
        <v>6.0115886045388702</v>
      </c>
      <c r="Y29" s="5">
        <f>Q29/T29</f>
        <v>2.9411764705882355</v>
      </c>
      <c r="Z29" s="5">
        <f>Q29/R29</f>
        <v>7.5268817204301079</v>
      </c>
      <c r="AA29" s="5">
        <f>T29/U29</f>
        <v>4.25</v>
      </c>
      <c r="AB29" s="5">
        <f>U29/T29</f>
        <v>0.23529411764705882</v>
      </c>
      <c r="AC29" s="5">
        <f>R29/Q29</f>
        <v>0.13285714285714287</v>
      </c>
    </row>
    <row r="30" spans="1:1026" s="11" customFormat="1" x14ac:dyDescent="0.2">
      <c r="A30" s="11" t="s">
        <v>41</v>
      </c>
      <c r="D30" s="11">
        <v>1958</v>
      </c>
      <c r="E30" s="11">
        <v>2043</v>
      </c>
      <c r="F30" s="11">
        <f>E30/D30</f>
        <v>1.0434116445352399</v>
      </c>
      <c r="G30" s="11">
        <v>731</v>
      </c>
      <c r="H30" s="10">
        <f>100*G30/E30</f>
        <v>35.780714635340189</v>
      </c>
      <c r="I30" s="10">
        <f t="shared" si="10"/>
        <v>19.687572381978409</v>
      </c>
      <c r="J30" s="11">
        <v>81</v>
      </c>
      <c r="K30" s="11">
        <f>AVERAGE('Width and Depths'!R$28:R36)</f>
        <v>192.11111111111111</v>
      </c>
      <c r="L30" s="11">
        <f>AVERAGE('Width and Depths'!$S$28:$S36)</f>
        <v>52.777777777777779</v>
      </c>
      <c r="M30" s="11">
        <f>MIN('Width and Depths'!$R$28:$R36)</f>
        <v>90</v>
      </c>
      <c r="N30" s="11">
        <f>MIN('Width and Depths'!$S$28:$S36)</f>
        <v>19</v>
      </c>
      <c r="O30" s="11">
        <f>MAX('Width and Depths'!$R$28:$R36)</f>
        <v>296</v>
      </c>
      <c r="P30" s="11">
        <f>MAX('Width and Depths'!$S$28:$S36)</f>
        <v>80</v>
      </c>
      <c r="Q30" s="11">
        <v>580</v>
      </c>
      <c r="R30" s="11">
        <v>80</v>
      </c>
      <c r="T30" s="11">
        <v>160</v>
      </c>
      <c r="U30" s="11">
        <v>33</v>
      </c>
      <c r="W30" s="11">
        <f>K30/L30</f>
        <v>3.64</v>
      </c>
      <c r="Y30" s="5">
        <f>Q30/T30</f>
        <v>3.625</v>
      </c>
      <c r="Z30" s="5">
        <f>Q30/R30</f>
        <v>7.25</v>
      </c>
      <c r="AA30" s="5">
        <f>T30/U30</f>
        <v>4.8484848484848486</v>
      </c>
      <c r="AB30" s="5">
        <f>U30/T30</f>
        <v>0.20624999999999999</v>
      </c>
      <c r="AC30" s="5">
        <f>R30/Q30</f>
        <v>0.13793103448275862</v>
      </c>
    </row>
    <row r="31" spans="1:1026" s="12" customFormat="1" ht="17" thickBot="1" x14ac:dyDescent="0.25">
      <c r="A31" s="12" t="s">
        <v>35</v>
      </c>
      <c r="D31" s="12">
        <v>2486</v>
      </c>
      <c r="E31" s="12">
        <v>2950</v>
      </c>
      <c r="F31" s="12">
        <f>E31/D31</f>
        <v>1.1866452131938858</v>
      </c>
      <c r="G31" s="12">
        <v>628</v>
      </c>
      <c r="H31" s="49">
        <f>100*G31/E31</f>
        <v>21.288135593220339</v>
      </c>
      <c r="I31" s="10">
        <f t="shared" si="10"/>
        <v>12.017803732867097</v>
      </c>
      <c r="J31" s="12">
        <v>77.599999999999994</v>
      </c>
      <c r="K31" s="12">
        <f>AVERAGE('Width and Depths'!R$37:R45)</f>
        <v>201</v>
      </c>
      <c r="L31" s="12">
        <f>AVERAGE('Width and Depths'!$S$37:$S45)</f>
        <v>35.222222222222221</v>
      </c>
      <c r="M31" s="12">
        <f>MIN('Width and Depths'!$R$37:$R45)</f>
        <v>90</v>
      </c>
      <c r="N31" s="12">
        <f>MIN('Width and Depths'!$S$37:$S45)</f>
        <v>18</v>
      </c>
      <c r="O31" s="12">
        <f>MAX('Width and Depths'!$R$37:$R45)</f>
        <v>390</v>
      </c>
      <c r="P31" s="12">
        <f>MAX('Width and Depths'!$S$37:$S45)</f>
        <v>64</v>
      </c>
      <c r="Q31" s="12">
        <v>1100</v>
      </c>
      <c r="R31" s="12">
        <v>258</v>
      </c>
      <c r="T31" s="12">
        <v>245</v>
      </c>
      <c r="U31" s="12">
        <v>66</v>
      </c>
      <c r="W31" s="12">
        <f>K31/L31</f>
        <v>5.7066246056782335</v>
      </c>
      <c r="Y31" s="50">
        <f>Q31/T31</f>
        <v>4.4897959183673466</v>
      </c>
      <c r="Z31" s="50">
        <f>Q31/R31</f>
        <v>4.2635658914728678</v>
      </c>
      <c r="AA31" s="50">
        <f>T31/U31</f>
        <v>3.7121212121212119</v>
      </c>
      <c r="AB31" s="50">
        <f>U31/T31</f>
        <v>0.26938775510204083</v>
      </c>
      <c r="AC31" s="50">
        <f>R31/Q31</f>
        <v>0.23454545454545456</v>
      </c>
    </row>
    <row r="32" spans="1:1026" s="53" customFormat="1" ht="17" thickBot="1" x14ac:dyDescent="0.25">
      <c r="A32" s="51" t="s">
        <v>130</v>
      </c>
      <c r="B32" s="52"/>
      <c r="C32" s="58"/>
      <c r="D32" s="60"/>
      <c r="F32" s="75"/>
      <c r="G32" s="61"/>
      <c r="H32" s="59"/>
      <c r="I32" s="10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Y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2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2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2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2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2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2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  <c r="AMK32" s="52"/>
      <c r="AML32" s="52"/>
    </row>
    <row r="33" spans="1:1026" s="47" customFormat="1" x14ac:dyDescent="0.2">
      <c r="A33" s="48" t="s">
        <v>21</v>
      </c>
      <c r="B33" s="48"/>
      <c r="C33" s="54"/>
      <c r="D33" s="48">
        <v>4391</v>
      </c>
      <c r="E33" s="48">
        <v>4710</v>
      </c>
      <c r="F33" s="75">
        <f t="shared" ref="F33:F37" si="16">E33/D33</f>
        <v>1.0726485994078798</v>
      </c>
      <c r="G33" s="56">
        <v>908</v>
      </c>
      <c r="H33" s="48">
        <v>19.7</v>
      </c>
      <c r="I33" s="10">
        <f t="shared" si="10"/>
        <v>11.144561239430516</v>
      </c>
      <c r="J33" s="48">
        <v>48.9</v>
      </c>
      <c r="K33" s="12">
        <f>AVERAGE('Width and Depths'!R$37:R47)</f>
        <v>201</v>
      </c>
      <c r="L33" s="48"/>
      <c r="M33" s="48"/>
      <c r="N33" s="48"/>
      <c r="O33" s="48"/>
      <c r="P33" s="48"/>
      <c r="Q33" s="48">
        <v>644</v>
      </c>
      <c r="R33" s="48">
        <v>62</v>
      </c>
      <c r="S33" s="48"/>
      <c r="T33" s="48"/>
      <c r="U33" s="48"/>
      <c r="Y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48"/>
      <c r="AAJ33" s="48"/>
      <c r="AAK33" s="48"/>
      <c r="AAL33" s="48"/>
      <c r="AAM33" s="48"/>
      <c r="AAN33" s="48"/>
      <c r="AAO33" s="48"/>
      <c r="AAP33" s="48"/>
      <c r="AAQ33" s="48"/>
      <c r="AAR33" s="48"/>
      <c r="AAS33" s="48"/>
      <c r="AAT33" s="48"/>
      <c r="AAU33" s="48"/>
      <c r="AAV33" s="48"/>
      <c r="AAW33" s="48"/>
      <c r="AAX33" s="48"/>
      <c r="AAY33" s="48"/>
      <c r="AAZ33" s="48"/>
      <c r="ABA33" s="48"/>
      <c r="ABB33" s="48"/>
      <c r="ABC33" s="48"/>
      <c r="ABD33" s="48"/>
      <c r="ABE33" s="48"/>
      <c r="ABF33" s="48"/>
      <c r="ABG33" s="48"/>
      <c r="ABH33" s="48"/>
      <c r="ABI33" s="48"/>
      <c r="ABJ33" s="48"/>
      <c r="ABK33" s="48"/>
      <c r="ABL33" s="48"/>
      <c r="ABM33" s="48"/>
      <c r="ABN33" s="48"/>
      <c r="ABO33" s="48"/>
      <c r="ABP33" s="48"/>
      <c r="ABQ33" s="48"/>
      <c r="ABR33" s="48"/>
      <c r="ABS33" s="48"/>
      <c r="ABT33" s="48"/>
      <c r="ABU33" s="48"/>
      <c r="ABV33" s="48"/>
      <c r="ABW33" s="48"/>
      <c r="ABX33" s="48"/>
      <c r="ABY33" s="48"/>
      <c r="ABZ33" s="48"/>
      <c r="ACA33" s="48"/>
      <c r="ACB33" s="48"/>
      <c r="ACC33" s="48"/>
      <c r="ACD33" s="48"/>
      <c r="ACE33" s="48"/>
      <c r="ACF33" s="48"/>
      <c r="ACG33" s="48"/>
      <c r="ACH33" s="48"/>
      <c r="ACI33" s="48"/>
      <c r="ACJ33" s="48"/>
      <c r="ACK33" s="48"/>
      <c r="ACL33" s="48"/>
      <c r="ACM33" s="48"/>
      <c r="ACN33" s="48"/>
      <c r="ACO33" s="48"/>
      <c r="ACP33" s="48"/>
      <c r="ACQ33" s="48"/>
      <c r="ACR33" s="48"/>
      <c r="ACS33" s="48"/>
      <c r="ACT33" s="48"/>
      <c r="ACU33" s="48"/>
      <c r="ACV33" s="48"/>
      <c r="ACW33" s="48"/>
      <c r="ACX33" s="48"/>
      <c r="ACY33" s="48"/>
      <c r="ACZ33" s="48"/>
      <c r="ADA33" s="48"/>
      <c r="ADB33" s="48"/>
      <c r="ADC33" s="48"/>
      <c r="ADD33" s="48"/>
      <c r="ADE33" s="48"/>
      <c r="ADF33" s="48"/>
      <c r="ADG33" s="48"/>
      <c r="ADH33" s="48"/>
      <c r="ADI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DX33" s="48"/>
      <c r="ADY33" s="48"/>
      <c r="ADZ33" s="48"/>
      <c r="AEA33" s="48"/>
      <c r="AEB33" s="48"/>
      <c r="AEC33" s="48"/>
      <c r="AED33" s="48"/>
      <c r="AEE33" s="48"/>
      <c r="AEF33" s="48"/>
      <c r="AEG33" s="48"/>
      <c r="AEH33" s="48"/>
      <c r="AEI33" s="48"/>
      <c r="AEJ33" s="48"/>
      <c r="AEK33" s="48"/>
      <c r="AEL33" s="48"/>
      <c r="AEM33" s="48"/>
      <c r="AEN33" s="48"/>
      <c r="AEO33" s="48"/>
      <c r="AEP33" s="48"/>
      <c r="AEQ33" s="48"/>
      <c r="AER33" s="48"/>
      <c r="AES33" s="48"/>
      <c r="AET33" s="48"/>
      <c r="AEU33" s="48"/>
      <c r="AEV33" s="48"/>
      <c r="AEW33" s="48"/>
      <c r="AEX33" s="48"/>
      <c r="AEY33" s="48"/>
      <c r="AEZ33" s="48"/>
      <c r="AFA33" s="48"/>
      <c r="AFB33" s="48"/>
      <c r="AFC33" s="48"/>
      <c r="AFD33" s="48"/>
      <c r="AFE33" s="48"/>
      <c r="AFF33" s="48"/>
      <c r="AFG33" s="48"/>
      <c r="AFH33" s="48"/>
      <c r="AFI33" s="48"/>
      <c r="AFJ33" s="48"/>
      <c r="AFK33" s="48"/>
      <c r="AFL33" s="48"/>
      <c r="AFM33" s="48"/>
      <c r="AFN33" s="48"/>
      <c r="AFO33" s="48"/>
      <c r="AFP33" s="48"/>
      <c r="AFQ33" s="48"/>
      <c r="AFR33" s="48"/>
      <c r="AFS33" s="48"/>
      <c r="AFT33" s="48"/>
      <c r="AFU33" s="48"/>
      <c r="AFV33" s="48"/>
      <c r="AFW33" s="48"/>
      <c r="AFX33" s="48"/>
      <c r="AFY33" s="48"/>
      <c r="AFZ33" s="48"/>
      <c r="AGA33" s="48"/>
      <c r="AGB33" s="48"/>
      <c r="AGC33" s="48"/>
      <c r="AGD33" s="48"/>
      <c r="AGE33" s="48"/>
      <c r="AGF33" s="48"/>
      <c r="AGG33" s="48"/>
      <c r="AGH33" s="48"/>
      <c r="AGI33" s="48"/>
      <c r="AGJ33" s="48"/>
      <c r="AGK33" s="48"/>
      <c r="AGL33" s="48"/>
      <c r="AGM33" s="48"/>
      <c r="AGN33" s="48"/>
      <c r="AGO33" s="48"/>
      <c r="AGP33" s="48"/>
      <c r="AGQ33" s="48"/>
      <c r="AGR33" s="48"/>
      <c r="AGS33" s="48"/>
      <c r="AGT33" s="48"/>
      <c r="AGU33" s="48"/>
      <c r="AGV33" s="48"/>
      <c r="AGW33" s="48"/>
      <c r="AGX33" s="48"/>
      <c r="AGY33" s="48"/>
      <c r="AGZ33" s="48"/>
      <c r="AHA33" s="48"/>
      <c r="AHB33" s="48"/>
      <c r="AHC33" s="48"/>
      <c r="AHD33" s="48"/>
      <c r="AHE33" s="48"/>
      <c r="AHF33" s="48"/>
      <c r="AHG33" s="48"/>
      <c r="AHH33" s="48"/>
      <c r="AHI33" s="48"/>
      <c r="AHJ33" s="48"/>
      <c r="AHK33" s="48"/>
      <c r="AHL33" s="48"/>
      <c r="AHM33" s="48"/>
      <c r="AHN33" s="48"/>
      <c r="AHO33" s="48"/>
      <c r="AHP33" s="48"/>
      <c r="AHQ33" s="48"/>
      <c r="AHR33" s="48"/>
      <c r="AHS33" s="48"/>
      <c r="AHT33" s="48"/>
      <c r="AHU33" s="48"/>
      <c r="AHV33" s="48"/>
      <c r="AHW33" s="48"/>
      <c r="AHX33" s="48"/>
      <c r="AHY33" s="48"/>
      <c r="AHZ33" s="48"/>
      <c r="AIA33" s="48"/>
      <c r="AIB33" s="48"/>
      <c r="AIC33" s="48"/>
      <c r="AID33" s="48"/>
      <c r="AIE33" s="48"/>
      <c r="AIF33" s="48"/>
      <c r="AIG33" s="48"/>
      <c r="AIH33" s="48"/>
      <c r="AII33" s="48"/>
      <c r="AIJ33" s="48"/>
      <c r="AIK33" s="48"/>
      <c r="AIL33" s="48"/>
      <c r="AIM33" s="48"/>
      <c r="AIN33" s="48"/>
      <c r="AIO33" s="48"/>
      <c r="AIP33" s="48"/>
      <c r="AIQ33" s="48"/>
      <c r="AIR33" s="48"/>
      <c r="AIS33" s="48"/>
      <c r="AIT33" s="48"/>
      <c r="AIU33" s="48"/>
      <c r="AIV33" s="48"/>
      <c r="AIW33" s="48"/>
      <c r="AIX33" s="48"/>
      <c r="AIY33" s="48"/>
      <c r="AIZ33" s="48"/>
      <c r="AJA33" s="48"/>
      <c r="AJB33" s="48"/>
      <c r="AJC33" s="48"/>
      <c r="AJD33" s="48"/>
      <c r="AJE33" s="48"/>
      <c r="AJF33" s="48"/>
      <c r="AJG33" s="48"/>
      <c r="AJH33" s="48"/>
      <c r="AJI33" s="48"/>
      <c r="AJJ33" s="48"/>
      <c r="AJK33" s="48"/>
      <c r="AJL33" s="48"/>
      <c r="AJM33" s="48"/>
      <c r="AJN33" s="48"/>
      <c r="AJO33" s="48"/>
      <c r="AJP33" s="48"/>
      <c r="AJQ33" s="48"/>
      <c r="AJR33" s="48"/>
      <c r="AJS33" s="48"/>
      <c r="AJT33" s="48"/>
      <c r="AJU33" s="48"/>
      <c r="AJV33" s="48"/>
      <c r="AJW33" s="48"/>
      <c r="AJX33" s="48"/>
      <c r="AJY33" s="48"/>
      <c r="AJZ33" s="48"/>
      <c r="AKA33" s="48"/>
      <c r="AKB33" s="48"/>
      <c r="AKC33" s="48"/>
      <c r="AKD33" s="48"/>
      <c r="AKE33" s="48"/>
      <c r="AKF33" s="48"/>
      <c r="AKG33" s="48"/>
      <c r="AKH33" s="48"/>
      <c r="AKI33" s="48"/>
      <c r="AKJ33" s="48"/>
      <c r="AKK33" s="48"/>
      <c r="AKL33" s="48"/>
      <c r="AKM33" s="48"/>
      <c r="AKN33" s="48"/>
      <c r="AKO33" s="48"/>
      <c r="AKP33" s="48"/>
      <c r="AKQ33" s="48"/>
      <c r="AKR33" s="48"/>
      <c r="AKS33" s="48"/>
      <c r="AKT33" s="48"/>
      <c r="AKU33" s="48"/>
      <c r="AKV33" s="48"/>
      <c r="AKW33" s="48"/>
      <c r="AKX33" s="48"/>
      <c r="AKY33" s="48"/>
      <c r="AKZ33" s="48"/>
      <c r="ALA33" s="48"/>
      <c r="ALB33" s="48"/>
      <c r="ALC33" s="48"/>
      <c r="ALD33" s="48"/>
      <c r="ALE33" s="48"/>
      <c r="ALF33" s="48"/>
      <c r="ALG33" s="48"/>
      <c r="ALH33" s="48"/>
      <c r="ALI33" s="48"/>
      <c r="ALJ33" s="48"/>
      <c r="ALK33" s="48"/>
      <c r="ALL33" s="48"/>
      <c r="ALM33" s="48"/>
      <c r="ALN33" s="48"/>
      <c r="ALO33" s="48"/>
      <c r="ALP33" s="48"/>
      <c r="ALQ33" s="48"/>
      <c r="ALR33" s="48"/>
      <c r="ALS33" s="48"/>
      <c r="ALT33" s="48"/>
      <c r="ALU33" s="48"/>
      <c r="ALV33" s="48"/>
      <c r="ALW33" s="48"/>
      <c r="ALX33" s="48"/>
      <c r="ALY33" s="48"/>
      <c r="ALZ33" s="48"/>
      <c r="AMA33" s="48"/>
      <c r="AMB33" s="48"/>
      <c r="AMC33" s="48"/>
      <c r="AMD33" s="48"/>
      <c r="AME33" s="48"/>
      <c r="AMF33" s="48"/>
      <c r="AMG33" s="48"/>
      <c r="AMH33" s="48"/>
      <c r="AMI33" s="48"/>
      <c r="AMJ33" s="48"/>
      <c r="AMK33" s="48"/>
      <c r="AML33" s="48"/>
    </row>
    <row r="34" spans="1:1026" s="47" customFormat="1" x14ac:dyDescent="0.2">
      <c r="A34" s="46" t="s">
        <v>32</v>
      </c>
      <c r="B34" s="46"/>
      <c r="C34" s="55"/>
      <c r="D34" s="46">
        <v>3139</v>
      </c>
      <c r="E34" s="46">
        <v>3780</v>
      </c>
      <c r="F34" s="46">
        <f t="shared" si="16"/>
        <v>1.204205160879261</v>
      </c>
      <c r="G34" s="57">
        <v>856</v>
      </c>
      <c r="H34" s="48">
        <v>24.5</v>
      </c>
      <c r="I34" s="10">
        <f t="shared" si="10"/>
        <v>13.766300685466257</v>
      </c>
      <c r="J34" s="46">
        <v>83</v>
      </c>
      <c r="K34" s="46"/>
      <c r="L34" s="46"/>
      <c r="M34" s="46"/>
      <c r="N34" s="46"/>
      <c r="O34" s="46"/>
      <c r="P34" s="46"/>
      <c r="Q34" s="46">
        <v>972</v>
      </c>
      <c r="R34" s="46">
        <v>76</v>
      </c>
      <c r="S34" s="46"/>
      <c r="T34" s="46">
        <v>488</v>
      </c>
      <c r="U34" s="46">
        <v>31</v>
      </c>
      <c r="V34" s="47">
        <v>336</v>
      </c>
      <c r="Y34" s="48"/>
      <c r="AA34" s="48"/>
      <c r="AB34" s="48"/>
      <c r="AC34" s="48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</row>
    <row r="35" spans="1:1026" s="47" customFormat="1" x14ac:dyDescent="0.2">
      <c r="A35" s="46" t="s">
        <v>27</v>
      </c>
      <c r="B35" s="46"/>
      <c r="C35" s="55"/>
      <c r="D35" s="46">
        <v>4419</v>
      </c>
      <c r="E35" s="46">
        <v>4880</v>
      </c>
      <c r="F35" s="46">
        <f t="shared" si="16"/>
        <v>1.1043222448517764</v>
      </c>
      <c r="G35" s="57">
        <v>873</v>
      </c>
      <c r="H35" s="48">
        <v>17.8</v>
      </c>
      <c r="I35" s="10">
        <f t="shared" si="10"/>
        <v>10.092939831982035</v>
      </c>
      <c r="J35" s="46">
        <v>95</v>
      </c>
      <c r="K35" s="46"/>
      <c r="L35" s="46"/>
      <c r="M35" s="46"/>
      <c r="N35" s="46"/>
      <c r="O35" s="46"/>
      <c r="P35" s="46"/>
      <c r="Q35" s="46">
        <v>336</v>
      </c>
      <c r="R35" s="46">
        <v>40</v>
      </c>
      <c r="S35" s="46"/>
      <c r="T35" s="46"/>
      <c r="U35" s="46"/>
      <c r="Y35" s="48"/>
      <c r="AA35" s="48"/>
      <c r="AB35" s="48"/>
      <c r="AC35" s="48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</row>
    <row r="36" spans="1:1026" s="47" customFormat="1" x14ac:dyDescent="0.2">
      <c r="A36" s="46" t="s">
        <v>29</v>
      </c>
      <c r="B36" s="46"/>
      <c r="C36" s="55"/>
      <c r="D36" s="46">
        <v>7706</v>
      </c>
      <c r="E36" s="46">
        <v>8350</v>
      </c>
      <c r="F36" s="46">
        <f t="shared" si="16"/>
        <v>1.0835712431871269</v>
      </c>
      <c r="G36" s="57">
        <v>1263</v>
      </c>
      <c r="H36" s="48">
        <v>15.4</v>
      </c>
      <c r="I36" s="10">
        <f t="shared" si="10"/>
        <v>8.7547729897992319</v>
      </c>
      <c r="J36" s="46">
        <v>66.900000000000006</v>
      </c>
      <c r="K36" s="46"/>
      <c r="L36" s="46"/>
      <c r="M36" s="46"/>
      <c r="N36" s="46"/>
      <c r="O36" s="46"/>
      <c r="P36" s="46"/>
      <c r="Q36" s="46">
        <v>1187</v>
      </c>
      <c r="R36" s="46">
        <v>104</v>
      </c>
      <c r="S36" s="46"/>
      <c r="T36" s="46">
        <v>536</v>
      </c>
      <c r="U36" s="46">
        <v>83</v>
      </c>
      <c r="Y36" s="48"/>
      <c r="AA36" s="48"/>
      <c r="AB36" s="48"/>
      <c r="AC36" s="48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</row>
    <row r="37" spans="1:1026" s="47" customFormat="1" x14ac:dyDescent="0.2">
      <c r="A37" s="46" t="s">
        <v>41</v>
      </c>
      <c r="B37" s="46"/>
      <c r="C37" s="55"/>
      <c r="D37" s="46">
        <v>6142</v>
      </c>
      <c r="E37" s="46">
        <v>6710</v>
      </c>
      <c r="F37" s="46">
        <f t="shared" si="16"/>
        <v>1.0924780201888635</v>
      </c>
      <c r="G37" s="57">
        <v>1333</v>
      </c>
      <c r="H37" s="48">
        <v>22.4</v>
      </c>
      <c r="I37" s="10">
        <f t="shared" si="10"/>
        <v>12.625836878907313</v>
      </c>
      <c r="J37" s="46">
        <v>83.2</v>
      </c>
      <c r="K37" s="46"/>
      <c r="L37" s="46"/>
      <c r="M37" s="46"/>
      <c r="N37" s="46"/>
      <c r="O37" s="46"/>
      <c r="P37" s="46"/>
      <c r="Q37" s="46">
        <v>965</v>
      </c>
      <c r="R37" s="46">
        <v>86</v>
      </c>
      <c r="S37" s="46"/>
      <c r="T37" s="46">
        <v>561</v>
      </c>
      <c r="U37" s="46">
        <v>50</v>
      </c>
      <c r="Y37" s="48"/>
      <c r="AA37" s="48"/>
      <c r="AB37" s="48"/>
      <c r="AC37" s="48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</row>
    <row r="38" spans="1:1026" s="47" customFormat="1" x14ac:dyDescent="0.2">
      <c r="A38" s="46"/>
      <c r="B38" s="46"/>
      <c r="C38" s="55"/>
      <c r="D38" s="46"/>
      <c r="E38" s="46"/>
      <c r="F38" s="46"/>
      <c r="G38" s="57"/>
      <c r="H38" s="48"/>
      <c r="I38" s="48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Y38" s="48"/>
      <c r="AA38" s="48"/>
      <c r="AB38" s="48"/>
      <c r="AC38" s="48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</row>
    <row r="39" spans="1:1026" s="47" customFormat="1" x14ac:dyDescent="0.2">
      <c r="A39" s="46"/>
      <c r="B39" s="46"/>
      <c r="C39" s="55"/>
      <c r="D39" s="46">
        <f>COUNT(D3:D37)</f>
        <v>30</v>
      </c>
      <c r="E39" s="46"/>
      <c r="F39" s="46"/>
      <c r="G39" s="57"/>
      <c r="H39" s="48"/>
      <c r="I39" s="48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Y39" s="48"/>
      <c r="AA39" s="48"/>
      <c r="AB39" s="48"/>
      <c r="AC39" s="48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</row>
    <row r="40" spans="1:1026" s="47" customFormat="1" x14ac:dyDescent="0.2">
      <c r="A40" s="46"/>
      <c r="B40" s="46"/>
      <c r="C40" s="55"/>
      <c r="D40" s="46"/>
      <c r="E40" s="46"/>
      <c r="F40" s="46"/>
      <c r="G40" s="57"/>
      <c r="H40" s="48"/>
      <c r="I40" s="48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Y40" s="48"/>
      <c r="AA40" s="48"/>
      <c r="AB40" s="48"/>
      <c r="AC40" s="48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</row>
    <row r="41" spans="1:1026" s="47" customFormat="1" x14ac:dyDescent="0.2">
      <c r="A41" s="46"/>
      <c r="B41" s="46"/>
      <c r="C41" s="55"/>
      <c r="D41" s="46"/>
      <c r="E41" s="46"/>
      <c r="F41" s="46"/>
      <c r="G41" s="57"/>
      <c r="H41" s="48"/>
      <c r="I41" s="48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Y41" s="48"/>
      <c r="AA41" s="48"/>
      <c r="AB41" s="48"/>
      <c r="AC41" s="48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</row>
    <row r="42" spans="1:1026" s="47" customFormat="1" x14ac:dyDescent="0.2">
      <c r="A42" s="46"/>
      <c r="B42" s="46"/>
      <c r="C42" s="55"/>
      <c r="D42" s="46"/>
      <c r="E42" s="46"/>
      <c r="F42" s="46"/>
      <c r="G42" s="57"/>
      <c r="H42" s="48"/>
      <c r="I42" s="48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Y42" s="48"/>
      <c r="AA42" s="48"/>
      <c r="AB42" s="48"/>
      <c r="AC42" s="48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  <c r="IW42" s="46"/>
      <c r="IX42" s="46"/>
      <c r="IY42" s="46"/>
      <c r="IZ42" s="46"/>
      <c r="JA42" s="46"/>
      <c r="JB42" s="46"/>
      <c r="JC42" s="46"/>
      <c r="JD42" s="46"/>
      <c r="JE42" s="46"/>
      <c r="JF42" s="46"/>
      <c r="JG42" s="46"/>
      <c r="JH42" s="46"/>
      <c r="JI42" s="46"/>
      <c r="JJ42" s="46"/>
      <c r="JK42" s="46"/>
      <c r="JL42" s="46"/>
      <c r="JM42" s="46"/>
      <c r="JN42" s="46"/>
      <c r="JO42" s="46"/>
      <c r="JP42" s="46"/>
      <c r="JQ42" s="46"/>
      <c r="JR42" s="46"/>
      <c r="JS42" s="46"/>
      <c r="JT42" s="46"/>
      <c r="JU42" s="46"/>
      <c r="JV42" s="46"/>
      <c r="JW42" s="46"/>
      <c r="JX42" s="46"/>
      <c r="JY42" s="46"/>
      <c r="JZ42" s="46"/>
      <c r="KA42" s="46"/>
      <c r="KB42" s="46"/>
      <c r="KC42" s="46"/>
      <c r="KD42" s="46"/>
      <c r="KE42" s="46"/>
      <c r="KF42" s="46"/>
      <c r="KG42" s="46"/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46"/>
      <c r="KU42" s="46"/>
      <c r="KV42" s="46"/>
      <c r="KW42" s="46"/>
      <c r="KX42" s="46"/>
      <c r="KY42" s="46"/>
      <c r="KZ42" s="46"/>
      <c r="LA42" s="46"/>
      <c r="LB42" s="46"/>
      <c r="LC42" s="46"/>
      <c r="LD42" s="46"/>
      <c r="LE42" s="46"/>
      <c r="LF42" s="46"/>
      <c r="LG42" s="46"/>
      <c r="LH42" s="46"/>
      <c r="LI42" s="46"/>
      <c r="LJ42" s="46"/>
      <c r="LK42" s="46"/>
      <c r="LL42" s="46"/>
      <c r="LM42" s="46"/>
      <c r="LN42" s="46"/>
      <c r="LO42" s="46"/>
      <c r="LP42" s="46"/>
      <c r="LQ42" s="46"/>
      <c r="LR42" s="46"/>
      <c r="LS42" s="46"/>
      <c r="LT42" s="46"/>
      <c r="LU42" s="46"/>
      <c r="LV42" s="46"/>
      <c r="LW42" s="46"/>
      <c r="LX42" s="46"/>
      <c r="LY42" s="46"/>
      <c r="LZ42" s="46"/>
      <c r="MA42" s="46"/>
      <c r="MB42" s="46"/>
      <c r="MC42" s="46"/>
      <c r="MD42" s="46"/>
      <c r="ME42" s="46"/>
      <c r="MF42" s="46"/>
      <c r="MG42" s="46"/>
      <c r="MH42" s="46"/>
      <c r="MI42" s="46"/>
      <c r="MJ42" s="46"/>
      <c r="MK42" s="46"/>
      <c r="ML42" s="46"/>
      <c r="MM42" s="46"/>
      <c r="MN42" s="46"/>
      <c r="MO42" s="46"/>
      <c r="MP42" s="46"/>
      <c r="MQ42" s="46"/>
      <c r="MR42" s="46"/>
      <c r="MS42" s="46"/>
      <c r="MT42" s="46"/>
      <c r="MU42" s="46"/>
      <c r="MV42" s="46"/>
      <c r="MW42" s="46"/>
      <c r="MX42" s="46"/>
      <c r="MY42" s="46"/>
      <c r="MZ42" s="46"/>
      <c r="NA42" s="46"/>
      <c r="NB42" s="46"/>
      <c r="NC42" s="46"/>
      <c r="ND42" s="46"/>
      <c r="NE42" s="46"/>
      <c r="NF42" s="46"/>
      <c r="NG42" s="46"/>
      <c r="NH42" s="46"/>
      <c r="NI42" s="46"/>
      <c r="NJ42" s="46"/>
      <c r="NK42" s="46"/>
      <c r="NL42" s="46"/>
      <c r="NM42" s="46"/>
      <c r="NN42" s="46"/>
      <c r="NO42" s="46"/>
      <c r="NP42" s="46"/>
      <c r="NQ42" s="46"/>
      <c r="NR42" s="46"/>
      <c r="NS42" s="46"/>
      <c r="NT42" s="46"/>
      <c r="NU42" s="46"/>
      <c r="NV42" s="46"/>
      <c r="NW42" s="46"/>
      <c r="NX42" s="46"/>
      <c r="NY42" s="46"/>
      <c r="NZ42" s="46"/>
      <c r="OA42" s="46"/>
      <c r="OB42" s="46"/>
      <c r="OC42" s="46"/>
      <c r="OD42" s="46"/>
      <c r="OE42" s="46"/>
      <c r="OF42" s="46"/>
      <c r="OG42" s="46"/>
      <c r="OH42" s="46"/>
      <c r="OI42" s="46"/>
      <c r="OJ42" s="46"/>
      <c r="OK42" s="46"/>
      <c r="OL42" s="46"/>
      <c r="OM42" s="46"/>
      <c r="ON42" s="46"/>
      <c r="OO42" s="46"/>
      <c r="OP42" s="46"/>
      <c r="OQ42" s="46"/>
      <c r="OR42" s="46"/>
      <c r="OS42" s="46"/>
      <c r="OT42" s="46"/>
      <c r="OU42" s="46"/>
      <c r="OV42" s="46"/>
      <c r="OW42" s="46"/>
      <c r="OX42" s="46"/>
      <c r="OY42" s="46"/>
      <c r="OZ42" s="46"/>
      <c r="PA42" s="46"/>
      <c r="PB42" s="46"/>
      <c r="PC42" s="46"/>
      <c r="PD42" s="46"/>
      <c r="PE42" s="46"/>
      <c r="PF42" s="46"/>
      <c r="PG42" s="46"/>
      <c r="PH42" s="46"/>
      <c r="PI42" s="46"/>
      <c r="PJ42" s="46"/>
      <c r="PK42" s="46"/>
      <c r="PL42" s="46"/>
      <c r="PM42" s="46"/>
      <c r="PN42" s="46"/>
      <c r="PO42" s="46"/>
      <c r="PP42" s="46"/>
      <c r="PQ42" s="46"/>
      <c r="PR42" s="46"/>
      <c r="PS42" s="46"/>
      <c r="PT42" s="46"/>
      <c r="PU42" s="46"/>
      <c r="PV42" s="46"/>
      <c r="PW42" s="46"/>
      <c r="PX42" s="46"/>
      <c r="PY42" s="46"/>
      <c r="PZ42" s="46"/>
      <c r="QA42" s="46"/>
      <c r="QB42" s="46"/>
      <c r="QC42" s="46"/>
      <c r="QD42" s="46"/>
      <c r="QE42" s="46"/>
      <c r="QF42" s="46"/>
      <c r="QG42" s="46"/>
      <c r="QH42" s="46"/>
      <c r="QI42" s="46"/>
      <c r="QJ42" s="46"/>
      <c r="QK42" s="46"/>
      <c r="QL42" s="46"/>
      <c r="QM42" s="46"/>
      <c r="QN42" s="46"/>
      <c r="QO42" s="46"/>
      <c r="QP42" s="46"/>
      <c r="QQ42" s="46"/>
      <c r="QR42" s="46"/>
      <c r="QS42" s="46"/>
      <c r="QT42" s="46"/>
      <c r="QU42" s="46"/>
      <c r="QV42" s="46"/>
      <c r="QW42" s="46"/>
      <c r="QX42" s="46"/>
      <c r="QY42" s="46"/>
      <c r="QZ42" s="46"/>
      <c r="RA42" s="46"/>
      <c r="RB42" s="46"/>
      <c r="RC42" s="46"/>
      <c r="RD42" s="46"/>
      <c r="RE42" s="46"/>
      <c r="RF42" s="46"/>
      <c r="RG42" s="46"/>
      <c r="RH42" s="46"/>
      <c r="RI42" s="46"/>
      <c r="RJ42" s="46"/>
      <c r="RK42" s="46"/>
      <c r="RL42" s="46"/>
      <c r="RM42" s="46"/>
      <c r="RN42" s="46"/>
      <c r="RO42" s="46"/>
      <c r="RP42" s="46"/>
      <c r="RQ42" s="46"/>
      <c r="RR42" s="46"/>
      <c r="RS42" s="46"/>
      <c r="RT42" s="46"/>
      <c r="RU42" s="46"/>
      <c r="RV42" s="46"/>
      <c r="RW42" s="46"/>
      <c r="RX42" s="46"/>
      <c r="RY42" s="46"/>
      <c r="RZ42" s="46"/>
      <c r="SA42" s="46"/>
      <c r="SB42" s="46"/>
      <c r="SC42" s="46"/>
      <c r="SD42" s="46"/>
      <c r="SE42" s="46"/>
      <c r="SF42" s="46"/>
      <c r="SG42" s="46"/>
      <c r="SH42" s="46"/>
      <c r="SI42" s="46"/>
      <c r="SJ42" s="46"/>
      <c r="SK42" s="46"/>
      <c r="SL42" s="46"/>
      <c r="SM42" s="46"/>
      <c r="SN42" s="46"/>
      <c r="SO42" s="46"/>
      <c r="SP42" s="46"/>
      <c r="SQ42" s="46"/>
      <c r="SR42" s="46"/>
      <c r="SS42" s="46"/>
      <c r="ST42" s="46"/>
      <c r="SU42" s="46"/>
      <c r="SV42" s="46"/>
      <c r="SW42" s="46"/>
      <c r="SX42" s="46"/>
      <c r="SY42" s="46"/>
      <c r="SZ42" s="46"/>
      <c r="TA42" s="46"/>
      <c r="TB42" s="46"/>
      <c r="TC42" s="46"/>
      <c r="TD42" s="46"/>
      <c r="TE42" s="46"/>
      <c r="TF42" s="46"/>
      <c r="TG42" s="46"/>
      <c r="TH42" s="46"/>
      <c r="TI42" s="46"/>
      <c r="TJ42" s="46"/>
      <c r="TK42" s="46"/>
      <c r="TL42" s="46"/>
      <c r="TM42" s="46"/>
      <c r="TN42" s="46"/>
      <c r="TO42" s="46"/>
      <c r="TP42" s="46"/>
      <c r="TQ42" s="46"/>
      <c r="TR42" s="46"/>
      <c r="TS42" s="46"/>
      <c r="TT42" s="46"/>
      <c r="TU42" s="46"/>
      <c r="TV42" s="46"/>
      <c r="TW42" s="46"/>
      <c r="TX42" s="46"/>
      <c r="TY42" s="46"/>
      <c r="TZ42" s="46"/>
      <c r="UA42" s="46"/>
      <c r="UB42" s="46"/>
      <c r="UC42" s="46"/>
      <c r="UD42" s="46"/>
      <c r="UE42" s="46"/>
      <c r="UF42" s="46"/>
      <c r="UG42" s="46"/>
      <c r="UH42" s="46"/>
      <c r="UI42" s="46"/>
      <c r="UJ42" s="46"/>
      <c r="UK42" s="46"/>
      <c r="UL42" s="46"/>
      <c r="UM42" s="46"/>
      <c r="UN42" s="46"/>
      <c r="UO42" s="46"/>
      <c r="UP42" s="46"/>
      <c r="UQ42" s="46"/>
      <c r="UR42" s="46"/>
      <c r="US42" s="46"/>
      <c r="UT42" s="46"/>
      <c r="UU42" s="46"/>
      <c r="UV42" s="46"/>
      <c r="UW42" s="46"/>
      <c r="UX42" s="46"/>
      <c r="UY42" s="46"/>
      <c r="UZ42" s="46"/>
      <c r="VA42" s="46"/>
      <c r="VB42" s="46"/>
      <c r="VC42" s="46"/>
      <c r="VD42" s="46"/>
      <c r="VE42" s="46"/>
      <c r="VF42" s="46"/>
      <c r="VG42" s="46"/>
      <c r="VH42" s="46"/>
      <c r="VI42" s="46"/>
      <c r="VJ42" s="46"/>
      <c r="VK42" s="46"/>
      <c r="VL42" s="46"/>
      <c r="VM42" s="46"/>
      <c r="VN42" s="46"/>
      <c r="VO42" s="46"/>
      <c r="VP42" s="46"/>
      <c r="VQ42" s="46"/>
      <c r="VR42" s="46"/>
      <c r="VS42" s="46"/>
      <c r="VT42" s="46"/>
      <c r="VU42" s="46"/>
      <c r="VV42" s="46"/>
      <c r="VW42" s="46"/>
      <c r="VX42" s="46"/>
      <c r="VY42" s="46"/>
      <c r="VZ42" s="46"/>
      <c r="WA42" s="46"/>
      <c r="WB42" s="46"/>
      <c r="WC42" s="46"/>
      <c r="WD42" s="46"/>
      <c r="WE42" s="46"/>
      <c r="WF42" s="46"/>
      <c r="WG42" s="46"/>
      <c r="WH42" s="46"/>
      <c r="WI42" s="46"/>
      <c r="WJ42" s="46"/>
      <c r="WK42" s="46"/>
      <c r="WL42" s="46"/>
      <c r="WM42" s="46"/>
      <c r="WN42" s="46"/>
      <c r="WO42" s="46"/>
      <c r="WP42" s="46"/>
      <c r="WQ42" s="46"/>
      <c r="WR42" s="46"/>
      <c r="WS42" s="46"/>
      <c r="WT42" s="46"/>
      <c r="WU42" s="46"/>
      <c r="WV42" s="46"/>
      <c r="WW42" s="46"/>
      <c r="WX42" s="46"/>
      <c r="WY42" s="46"/>
      <c r="WZ42" s="46"/>
      <c r="XA42" s="46"/>
      <c r="XB42" s="46"/>
      <c r="XC42" s="46"/>
      <c r="XD42" s="46"/>
      <c r="XE42" s="46"/>
      <c r="XF42" s="46"/>
      <c r="XG42" s="46"/>
      <c r="XH42" s="46"/>
      <c r="XI42" s="46"/>
      <c r="XJ42" s="46"/>
      <c r="XK42" s="46"/>
      <c r="XL42" s="46"/>
      <c r="XM42" s="46"/>
      <c r="XN42" s="46"/>
      <c r="XO42" s="46"/>
      <c r="XP42" s="46"/>
      <c r="XQ42" s="46"/>
      <c r="XR42" s="46"/>
      <c r="XS42" s="46"/>
      <c r="XT42" s="46"/>
      <c r="XU42" s="46"/>
      <c r="XV42" s="46"/>
      <c r="XW42" s="46"/>
      <c r="XX42" s="46"/>
      <c r="XY42" s="46"/>
      <c r="XZ42" s="46"/>
      <c r="YA42" s="46"/>
      <c r="YB42" s="46"/>
      <c r="YC42" s="46"/>
      <c r="YD42" s="46"/>
      <c r="YE42" s="46"/>
      <c r="YF42" s="46"/>
      <c r="YG42" s="46"/>
      <c r="YH42" s="46"/>
      <c r="YI42" s="46"/>
      <c r="YJ42" s="46"/>
      <c r="YK42" s="46"/>
      <c r="YL42" s="46"/>
      <c r="YM42" s="46"/>
      <c r="YN42" s="46"/>
      <c r="YO42" s="46"/>
      <c r="YP42" s="46"/>
      <c r="YQ42" s="46"/>
      <c r="YR42" s="46"/>
      <c r="YS42" s="46"/>
      <c r="YT42" s="46"/>
      <c r="YU42" s="46"/>
      <c r="YV42" s="46"/>
      <c r="YW42" s="46"/>
      <c r="YX42" s="46"/>
      <c r="YY42" s="46"/>
      <c r="YZ42" s="46"/>
      <c r="ZA42" s="46"/>
      <c r="ZB42" s="46"/>
      <c r="ZC42" s="46"/>
      <c r="ZD42" s="46"/>
      <c r="ZE42" s="46"/>
      <c r="ZF42" s="46"/>
      <c r="ZG42" s="46"/>
      <c r="ZH42" s="46"/>
      <c r="ZI42" s="46"/>
      <c r="ZJ42" s="46"/>
      <c r="ZK42" s="46"/>
      <c r="ZL42" s="46"/>
      <c r="ZM42" s="46"/>
      <c r="ZN42" s="46"/>
      <c r="ZO42" s="46"/>
      <c r="ZP42" s="46"/>
      <c r="ZQ42" s="46"/>
      <c r="ZR42" s="46"/>
      <c r="ZS42" s="46"/>
      <c r="ZT42" s="46"/>
      <c r="ZU42" s="46"/>
      <c r="ZV42" s="46"/>
      <c r="ZW42" s="46"/>
      <c r="ZX42" s="46"/>
      <c r="ZY42" s="46"/>
      <c r="ZZ42" s="46"/>
      <c r="AAA42" s="46"/>
      <c r="AAB42" s="46"/>
      <c r="AAC42" s="46"/>
      <c r="AAD42" s="46"/>
      <c r="AAE42" s="46"/>
      <c r="AAF42" s="46"/>
      <c r="AAG42" s="46"/>
      <c r="AAH42" s="46"/>
      <c r="AAI42" s="46"/>
      <c r="AAJ42" s="46"/>
      <c r="AAK42" s="46"/>
      <c r="AAL42" s="46"/>
      <c r="AAM42" s="46"/>
      <c r="AAN42" s="46"/>
      <c r="AAO42" s="46"/>
      <c r="AAP42" s="46"/>
      <c r="AAQ42" s="46"/>
      <c r="AAR42" s="46"/>
      <c r="AAS42" s="46"/>
      <c r="AAT42" s="46"/>
      <c r="AAU42" s="46"/>
      <c r="AAV42" s="46"/>
      <c r="AAW42" s="46"/>
      <c r="AAX42" s="46"/>
      <c r="AAY42" s="46"/>
      <c r="AAZ42" s="46"/>
      <c r="ABA42" s="46"/>
      <c r="ABB42" s="46"/>
      <c r="ABC42" s="46"/>
      <c r="ABD42" s="46"/>
      <c r="ABE42" s="46"/>
      <c r="ABF42" s="46"/>
      <c r="ABG42" s="46"/>
      <c r="ABH42" s="46"/>
      <c r="ABI42" s="46"/>
      <c r="ABJ42" s="46"/>
      <c r="ABK42" s="46"/>
      <c r="ABL42" s="46"/>
      <c r="ABM42" s="46"/>
      <c r="ABN42" s="46"/>
      <c r="ABO42" s="46"/>
      <c r="ABP42" s="46"/>
      <c r="ABQ42" s="46"/>
      <c r="ABR42" s="46"/>
      <c r="ABS42" s="46"/>
      <c r="ABT42" s="46"/>
      <c r="ABU42" s="46"/>
      <c r="ABV42" s="46"/>
      <c r="ABW42" s="46"/>
      <c r="ABX42" s="46"/>
      <c r="ABY42" s="46"/>
      <c r="ABZ42" s="46"/>
      <c r="ACA42" s="46"/>
      <c r="ACB42" s="46"/>
      <c r="ACC42" s="46"/>
      <c r="ACD42" s="46"/>
      <c r="ACE42" s="46"/>
      <c r="ACF42" s="46"/>
      <c r="ACG42" s="46"/>
      <c r="ACH42" s="46"/>
      <c r="ACI42" s="46"/>
      <c r="ACJ42" s="46"/>
      <c r="ACK42" s="46"/>
      <c r="ACL42" s="46"/>
      <c r="ACM42" s="46"/>
      <c r="ACN42" s="46"/>
      <c r="ACO42" s="46"/>
      <c r="ACP42" s="46"/>
      <c r="ACQ42" s="46"/>
      <c r="ACR42" s="46"/>
      <c r="ACS42" s="46"/>
      <c r="ACT42" s="46"/>
      <c r="ACU42" s="46"/>
      <c r="ACV42" s="46"/>
      <c r="ACW42" s="46"/>
      <c r="ACX42" s="46"/>
      <c r="ACY42" s="46"/>
      <c r="ACZ42" s="46"/>
      <c r="ADA42" s="46"/>
      <c r="ADB42" s="46"/>
      <c r="ADC42" s="46"/>
      <c r="ADD42" s="46"/>
      <c r="ADE42" s="46"/>
      <c r="ADF42" s="46"/>
      <c r="ADG42" s="46"/>
      <c r="ADH42" s="46"/>
      <c r="ADI42" s="46"/>
      <c r="ADJ42" s="46"/>
      <c r="ADK42" s="46"/>
      <c r="ADL42" s="46"/>
      <c r="ADM42" s="46"/>
      <c r="ADN42" s="46"/>
      <c r="ADO42" s="46"/>
      <c r="ADP42" s="46"/>
      <c r="ADQ42" s="46"/>
      <c r="ADR42" s="46"/>
      <c r="ADS42" s="46"/>
      <c r="ADT42" s="46"/>
      <c r="ADU42" s="46"/>
      <c r="ADV42" s="46"/>
      <c r="ADW42" s="46"/>
      <c r="ADX42" s="46"/>
      <c r="ADY42" s="46"/>
      <c r="ADZ42" s="46"/>
      <c r="AEA42" s="46"/>
      <c r="AEB42" s="46"/>
      <c r="AEC42" s="46"/>
      <c r="AED42" s="46"/>
      <c r="AEE42" s="46"/>
      <c r="AEF42" s="46"/>
      <c r="AEG42" s="46"/>
      <c r="AEH42" s="46"/>
      <c r="AEI42" s="46"/>
      <c r="AEJ42" s="46"/>
      <c r="AEK42" s="46"/>
      <c r="AEL42" s="46"/>
      <c r="AEM42" s="46"/>
      <c r="AEN42" s="46"/>
      <c r="AEO42" s="46"/>
      <c r="AEP42" s="46"/>
      <c r="AEQ42" s="46"/>
      <c r="AER42" s="46"/>
      <c r="AES42" s="46"/>
      <c r="AET42" s="46"/>
      <c r="AEU42" s="46"/>
      <c r="AEV42" s="46"/>
      <c r="AEW42" s="46"/>
      <c r="AEX42" s="46"/>
      <c r="AEY42" s="46"/>
      <c r="AEZ42" s="46"/>
      <c r="AFA42" s="46"/>
      <c r="AFB42" s="46"/>
      <c r="AFC42" s="46"/>
      <c r="AFD42" s="46"/>
      <c r="AFE42" s="46"/>
      <c r="AFF42" s="46"/>
      <c r="AFG42" s="46"/>
      <c r="AFH42" s="46"/>
      <c r="AFI42" s="46"/>
      <c r="AFJ42" s="46"/>
      <c r="AFK42" s="46"/>
      <c r="AFL42" s="46"/>
      <c r="AFM42" s="46"/>
      <c r="AFN42" s="46"/>
      <c r="AFO42" s="46"/>
      <c r="AFP42" s="46"/>
      <c r="AFQ42" s="46"/>
      <c r="AFR42" s="46"/>
      <c r="AFS42" s="46"/>
      <c r="AFT42" s="46"/>
      <c r="AFU42" s="46"/>
      <c r="AFV42" s="46"/>
      <c r="AFW42" s="46"/>
      <c r="AFX42" s="46"/>
      <c r="AFY42" s="46"/>
      <c r="AFZ42" s="46"/>
      <c r="AGA42" s="46"/>
      <c r="AGB42" s="46"/>
      <c r="AGC42" s="46"/>
      <c r="AGD42" s="46"/>
      <c r="AGE42" s="46"/>
      <c r="AGF42" s="46"/>
      <c r="AGG42" s="46"/>
      <c r="AGH42" s="46"/>
      <c r="AGI42" s="46"/>
      <c r="AGJ42" s="46"/>
      <c r="AGK42" s="46"/>
      <c r="AGL42" s="46"/>
      <c r="AGM42" s="46"/>
      <c r="AGN42" s="46"/>
      <c r="AGO42" s="46"/>
      <c r="AGP42" s="46"/>
      <c r="AGQ42" s="46"/>
      <c r="AGR42" s="46"/>
      <c r="AGS42" s="46"/>
      <c r="AGT42" s="46"/>
      <c r="AGU42" s="46"/>
      <c r="AGV42" s="46"/>
      <c r="AGW42" s="46"/>
      <c r="AGX42" s="46"/>
      <c r="AGY42" s="46"/>
      <c r="AGZ42" s="46"/>
      <c r="AHA42" s="46"/>
      <c r="AHB42" s="46"/>
      <c r="AHC42" s="46"/>
      <c r="AHD42" s="46"/>
      <c r="AHE42" s="46"/>
      <c r="AHF42" s="46"/>
      <c r="AHG42" s="46"/>
      <c r="AHH42" s="46"/>
      <c r="AHI42" s="46"/>
      <c r="AHJ42" s="46"/>
      <c r="AHK42" s="46"/>
      <c r="AHL42" s="46"/>
      <c r="AHM42" s="46"/>
      <c r="AHN42" s="46"/>
      <c r="AHO42" s="46"/>
      <c r="AHP42" s="46"/>
      <c r="AHQ42" s="46"/>
      <c r="AHR42" s="46"/>
      <c r="AHS42" s="46"/>
      <c r="AHT42" s="46"/>
      <c r="AHU42" s="46"/>
      <c r="AHV42" s="46"/>
      <c r="AHW42" s="46"/>
      <c r="AHX42" s="46"/>
      <c r="AHY42" s="46"/>
      <c r="AHZ42" s="46"/>
      <c r="AIA42" s="46"/>
      <c r="AIB42" s="46"/>
      <c r="AIC42" s="46"/>
      <c r="AID42" s="46"/>
      <c r="AIE42" s="46"/>
      <c r="AIF42" s="46"/>
      <c r="AIG42" s="46"/>
      <c r="AIH42" s="46"/>
      <c r="AII42" s="46"/>
      <c r="AIJ42" s="46"/>
      <c r="AIK42" s="46"/>
      <c r="AIL42" s="46"/>
      <c r="AIM42" s="46"/>
      <c r="AIN42" s="46"/>
      <c r="AIO42" s="46"/>
      <c r="AIP42" s="46"/>
      <c r="AIQ42" s="46"/>
      <c r="AIR42" s="46"/>
      <c r="AIS42" s="46"/>
      <c r="AIT42" s="46"/>
      <c r="AIU42" s="46"/>
      <c r="AIV42" s="46"/>
      <c r="AIW42" s="46"/>
      <c r="AIX42" s="46"/>
      <c r="AIY42" s="46"/>
      <c r="AIZ42" s="46"/>
      <c r="AJA42" s="46"/>
      <c r="AJB42" s="46"/>
      <c r="AJC42" s="46"/>
      <c r="AJD42" s="46"/>
      <c r="AJE42" s="46"/>
      <c r="AJF42" s="46"/>
      <c r="AJG42" s="46"/>
      <c r="AJH42" s="46"/>
      <c r="AJI42" s="46"/>
      <c r="AJJ42" s="46"/>
      <c r="AJK42" s="46"/>
      <c r="AJL42" s="46"/>
      <c r="AJM42" s="46"/>
      <c r="AJN42" s="46"/>
      <c r="AJO42" s="46"/>
      <c r="AJP42" s="46"/>
      <c r="AJQ42" s="46"/>
      <c r="AJR42" s="46"/>
      <c r="AJS42" s="46"/>
      <c r="AJT42" s="46"/>
      <c r="AJU42" s="46"/>
      <c r="AJV42" s="46"/>
      <c r="AJW42" s="46"/>
      <c r="AJX42" s="46"/>
      <c r="AJY42" s="46"/>
      <c r="AJZ42" s="46"/>
      <c r="AKA42" s="46"/>
      <c r="AKB42" s="46"/>
      <c r="AKC42" s="46"/>
      <c r="AKD42" s="46"/>
      <c r="AKE42" s="46"/>
      <c r="AKF42" s="46"/>
      <c r="AKG42" s="46"/>
      <c r="AKH42" s="46"/>
      <c r="AKI42" s="46"/>
      <c r="AKJ42" s="46"/>
      <c r="AKK42" s="46"/>
      <c r="AKL42" s="46"/>
      <c r="AKM42" s="46"/>
      <c r="AKN42" s="46"/>
      <c r="AKO42" s="46"/>
      <c r="AKP42" s="46"/>
      <c r="AKQ42" s="46"/>
      <c r="AKR42" s="46"/>
      <c r="AKS42" s="46"/>
      <c r="AKT42" s="46"/>
      <c r="AKU42" s="46"/>
      <c r="AKV42" s="46"/>
      <c r="AKW42" s="46"/>
      <c r="AKX42" s="46"/>
      <c r="AKY42" s="46"/>
      <c r="AKZ42" s="46"/>
      <c r="ALA42" s="46"/>
      <c r="ALB42" s="46"/>
      <c r="ALC42" s="46"/>
      <c r="ALD42" s="46"/>
      <c r="ALE42" s="46"/>
      <c r="ALF42" s="46"/>
      <c r="ALG42" s="46"/>
      <c r="ALH42" s="46"/>
      <c r="ALI42" s="46"/>
      <c r="ALJ42" s="46"/>
      <c r="ALK42" s="46"/>
      <c r="ALL42" s="46"/>
      <c r="ALM42" s="46"/>
      <c r="ALN42" s="46"/>
      <c r="ALO42" s="46"/>
      <c r="ALP42" s="46"/>
      <c r="ALQ42" s="46"/>
      <c r="ALR42" s="46"/>
      <c r="ALS42" s="46"/>
      <c r="ALT42" s="46"/>
      <c r="ALU42" s="46"/>
      <c r="ALV42" s="46"/>
      <c r="ALW42" s="46"/>
      <c r="ALX42" s="46"/>
      <c r="ALY42" s="46"/>
      <c r="ALZ42" s="46"/>
      <c r="AMA42" s="46"/>
      <c r="AMB42" s="46"/>
      <c r="AMC42" s="46"/>
      <c r="AMD42" s="46"/>
      <c r="AME42" s="46"/>
      <c r="AMF42" s="46"/>
      <c r="AMG42" s="46"/>
      <c r="AMH42" s="46"/>
      <c r="AMI42" s="46"/>
      <c r="AMJ42" s="46"/>
      <c r="AMK42" s="46"/>
      <c r="AML42" s="46"/>
    </row>
    <row r="43" spans="1:1026" s="30" customFormat="1" x14ac:dyDescent="0.2">
      <c r="A43" s="11"/>
      <c r="B43" s="11"/>
      <c r="C43" s="11"/>
      <c r="F43" s="10"/>
      <c r="G43" s="11"/>
      <c r="H43" s="10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Y43" s="5"/>
      <c r="Z43" s="29"/>
      <c r="AA43" s="5"/>
      <c r="AB43" s="5"/>
      <c r="AC43" s="5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  <c r="AML43" s="11"/>
    </row>
    <row r="44" spans="1:1026" s="30" customFormat="1" x14ac:dyDescent="0.2">
      <c r="A44" s="11"/>
      <c r="B44" s="11"/>
      <c r="C44" s="11"/>
      <c r="F44" s="11"/>
      <c r="G44" s="11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Y44" s="5"/>
      <c r="Z44" s="29"/>
      <c r="AA44" s="5"/>
      <c r="AB44" s="5"/>
      <c r="AC44" s="5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  <c r="AML44" s="11"/>
    </row>
    <row r="45" spans="1:1026" s="30" customFormat="1" x14ac:dyDescent="0.2">
      <c r="A45" s="11"/>
      <c r="B45" s="11"/>
      <c r="C45" s="11"/>
      <c r="F45" s="11"/>
      <c r="G45" s="11"/>
      <c r="H45" s="10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Y45" s="5"/>
      <c r="Z45" s="29"/>
      <c r="AA45" s="5"/>
      <c r="AB45" s="5"/>
      <c r="AC45" s="5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</row>
    <row r="46" spans="1:1026" s="30" customFormat="1" x14ac:dyDescent="0.2">
      <c r="A46" s="11"/>
      <c r="B46" s="11"/>
      <c r="C46" s="11"/>
      <c r="F46" s="11"/>
      <c r="G46" s="11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Y46" s="5"/>
      <c r="Z46" s="29"/>
      <c r="AA46" s="5"/>
      <c r="AB46" s="5"/>
      <c r="AC46" s="5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  <c r="AML46" s="11"/>
    </row>
    <row r="47" spans="1:1026" s="30" customFormat="1" x14ac:dyDescent="0.2">
      <c r="A47" s="11"/>
      <c r="B47" s="11"/>
      <c r="C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Y47" s="5"/>
      <c r="Z47" s="29"/>
      <c r="AA47" s="5"/>
      <c r="AB47" s="5"/>
      <c r="AC47" s="5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  <c r="AML47" s="11"/>
    </row>
    <row r="48" spans="1:1026" x14ac:dyDescent="0.2">
      <c r="B48" s="11"/>
      <c r="C48" s="11"/>
      <c r="D48"/>
      <c r="E48"/>
      <c r="F48" s="11" t="s">
        <v>47</v>
      </c>
      <c r="G48" s="11" t="s">
        <v>48</v>
      </c>
      <c r="H48" s="10" t="s">
        <v>49</v>
      </c>
      <c r="I48" s="10"/>
      <c r="J48" s="11" t="s">
        <v>50</v>
      </c>
      <c r="K48" s="11" t="s">
        <v>51</v>
      </c>
      <c r="L48" s="11" t="s">
        <v>52</v>
      </c>
      <c r="M48" s="11" t="s">
        <v>53</v>
      </c>
      <c r="N48" s="11" t="s">
        <v>54</v>
      </c>
      <c r="O48" s="11" t="s">
        <v>55</v>
      </c>
      <c r="P48" s="11" t="s">
        <v>56</v>
      </c>
      <c r="Q48" s="11" t="s">
        <v>57</v>
      </c>
      <c r="R48" s="11" t="s">
        <v>58</v>
      </c>
      <c r="S48" s="11"/>
      <c r="T48" s="11" t="s">
        <v>59</v>
      </c>
      <c r="V48"/>
      <c r="W48"/>
      <c r="X48"/>
      <c r="Y48" s="5"/>
      <c r="Z48"/>
    </row>
    <row r="49" spans="2:29" x14ac:dyDescent="0.2">
      <c r="B49" s="11"/>
      <c r="C49" s="11"/>
      <c r="D49"/>
      <c r="E49" s="11" t="str">
        <f>A2</f>
        <v>Merapi (6)</v>
      </c>
      <c r="F49" s="27">
        <f>AVERAGE(F3:F8)</f>
        <v>1.1110578127814683</v>
      </c>
      <c r="G49" s="27">
        <f t="shared" ref="G49:T49" si="17">AVERAGE(H3:H8)</f>
        <v>12.710283056169798</v>
      </c>
      <c r="H49" s="27">
        <f>AVERAGE(J3:J8)</f>
        <v>53.733333333333327</v>
      </c>
      <c r="I49" s="27"/>
      <c r="J49" s="27">
        <f t="shared" si="17"/>
        <v>267.914880952381</v>
      </c>
      <c r="K49" s="27">
        <f t="shared" si="17"/>
        <v>19.602976190476191</v>
      </c>
      <c r="L49" s="27">
        <f t="shared" si="17"/>
        <v>133.4</v>
      </c>
      <c r="M49" s="27">
        <f t="shared" si="17"/>
        <v>1.8333333333333333</v>
      </c>
      <c r="N49" s="27">
        <f t="shared" si="17"/>
        <v>457.66666666666669</v>
      </c>
      <c r="O49" s="27">
        <f t="shared" si="17"/>
        <v>58</v>
      </c>
      <c r="P49" s="27">
        <f t="shared" si="17"/>
        <v>1816.8333333333333</v>
      </c>
      <c r="Q49" s="27">
        <f t="shared" si="17"/>
        <v>250.83333333333334</v>
      </c>
      <c r="R49" s="27">
        <f>AVERAGE(T3:T8)</f>
        <v>472.02777777777783</v>
      </c>
      <c r="S49" s="27"/>
      <c r="T49" s="27">
        <f t="shared" si="17"/>
        <v>56.666666666666664</v>
      </c>
      <c r="V49"/>
      <c r="W49"/>
      <c r="X49" s="5"/>
      <c r="Z49" s="11">
        <f>AVERAGE(Z3:AA31)</f>
        <v>7.2555237826647794</v>
      </c>
      <c r="AB49" s="1">
        <f>AVERAGE(AB3:AB31)</f>
        <v>0.18866397345122304</v>
      </c>
      <c r="AC49" s="1">
        <f>AVERAGE(AC3:AC31)</f>
        <v>0.14239938401369609</v>
      </c>
    </row>
    <row r="50" spans="2:29" x14ac:dyDescent="0.2">
      <c r="B50" s="11"/>
      <c r="C50" s="11"/>
      <c r="D50"/>
      <c r="E50" s="11" t="str">
        <f>A9</f>
        <v>Colima (4)</v>
      </c>
      <c r="F50" s="27">
        <f>AVERAGE(F10:F13)</f>
        <v>1.1580586766749956</v>
      </c>
      <c r="G50" s="27">
        <f t="shared" ref="G50:T50" si="18">AVERAGE(H10:H13)</f>
        <v>18.023447669478589</v>
      </c>
      <c r="H50" s="27">
        <f>AVERAGE(J10:J13)</f>
        <v>52.4</v>
      </c>
      <c r="I50" s="27"/>
      <c r="J50" s="27">
        <f t="shared" si="18"/>
        <v>383.03977272727275</v>
      </c>
      <c r="K50" s="27">
        <f t="shared" si="18"/>
        <v>42.896590909090911</v>
      </c>
      <c r="L50" s="27">
        <f t="shared" si="18"/>
        <v>231.75</v>
      </c>
      <c r="M50" s="27">
        <f t="shared" si="18"/>
        <v>15.25</v>
      </c>
      <c r="N50" s="27">
        <f t="shared" si="18"/>
        <v>601.25</v>
      </c>
      <c r="O50" s="27">
        <f t="shared" si="18"/>
        <v>105.25</v>
      </c>
      <c r="P50" s="27">
        <f t="shared" si="18"/>
        <v>1322</v>
      </c>
      <c r="Q50" s="27">
        <f t="shared" si="18"/>
        <v>186.25</v>
      </c>
      <c r="R50" s="27">
        <f>AVERAGE(T10:T13)</f>
        <v>423.5</v>
      </c>
      <c r="S50" s="27"/>
      <c r="T50" s="27">
        <f t="shared" si="18"/>
        <v>68</v>
      </c>
      <c r="V50"/>
      <c r="W50"/>
      <c r="X50" s="5"/>
      <c r="Z50" s="11">
        <f>_xlfn.STDEV.P(Z3:AA31)</f>
        <v>3.0224046395756825</v>
      </c>
    </row>
    <row r="51" spans="2:29" x14ac:dyDescent="0.2">
      <c r="B51" s="11"/>
      <c r="C51" s="11"/>
      <c r="D51"/>
      <c r="E51" s="11" t="str">
        <f>A14</f>
        <v>Monserrat (4)</v>
      </c>
      <c r="F51" s="27">
        <f>AVERAGE(F15:F18)</f>
        <v>1.0964871152170574</v>
      </c>
      <c r="G51" s="27">
        <f t="shared" ref="G51:T51" si="19">AVERAGE(H15:H18)</f>
        <v>13.995033876116844</v>
      </c>
      <c r="H51" s="27">
        <f>AVERAGE(J15:J18)</f>
        <v>47.825000000000003</v>
      </c>
      <c r="I51" s="27"/>
      <c r="J51" s="27">
        <f t="shared" si="19"/>
        <v>334.61428571428576</v>
      </c>
      <c r="K51" s="27">
        <f t="shared" si="19"/>
        <v>32.029761904761905</v>
      </c>
      <c r="L51" s="27">
        <f t="shared" si="19"/>
        <v>265.75</v>
      </c>
      <c r="M51" s="27">
        <f t="shared" si="19"/>
        <v>18.5</v>
      </c>
      <c r="N51" s="27">
        <f t="shared" si="19"/>
        <v>417.75</v>
      </c>
      <c r="O51" s="27">
        <f t="shared" si="19"/>
        <v>54.25</v>
      </c>
      <c r="P51" s="27">
        <f t="shared" si="19"/>
        <v>1208</v>
      </c>
      <c r="Q51" s="27">
        <f t="shared" si="19"/>
        <v>138</v>
      </c>
      <c r="R51" s="27">
        <f>AVERAGE(T15:T18)</f>
        <v>414</v>
      </c>
      <c r="S51" s="27"/>
      <c r="T51" s="27">
        <f t="shared" si="19"/>
        <v>70.5</v>
      </c>
      <c r="V51"/>
      <c r="W51"/>
      <c r="X51" s="5"/>
    </row>
    <row r="52" spans="2:29" x14ac:dyDescent="0.2">
      <c r="B52" s="11"/>
      <c r="C52" s="11"/>
      <c r="D52"/>
      <c r="E52" s="11" t="str">
        <f>A19</f>
        <v>Unzen (6)</v>
      </c>
      <c r="F52" s="27">
        <f>AVERAGE(F20:F25)</f>
        <v>1.1528322987967041</v>
      </c>
      <c r="G52" s="27">
        <f t="shared" ref="G52:Q52" si="20">AVERAGE(H20:H25)</f>
        <v>22.343872243328676</v>
      </c>
      <c r="H52" s="27">
        <f>AVERAGE(J20:J25)</f>
        <v>71.78</v>
      </c>
      <c r="I52" s="27"/>
      <c r="J52" s="27">
        <f t="shared" si="20"/>
        <v>386.22976190476192</v>
      </c>
      <c r="K52" s="27">
        <f t="shared" si="20"/>
        <v>47.69444444444445</v>
      </c>
      <c r="L52" s="27">
        <f t="shared" si="20"/>
        <v>50.333333333333336</v>
      </c>
      <c r="M52" s="27">
        <f t="shared" si="20"/>
        <v>19.833333333333332</v>
      </c>
      <c r="N52" s="27">
        <f t="shared" si="20"/>
        <v>711.5</v>
      </c>
      <c r="O52" s="27">
        <f t="shared" si="20"/>
        <v>94.166666666666671</v>
      </c>
      <c r="P52" s="27">
        <f t="shared" si="20"/>
        <v>1892.5</v>
      </c>
      <c r="Q52" s="27">
        <f t="shared" si="20"/>
        <v>268.5</v>
      </c>
      <c r="R52" s="27">
        <f>AVERAGE(T22:T25)</f>
        <v>320.66666666666669</v>
      </c>
      <c r="S52" s="27"/>
      <c r="T52" s="27">
        <f>AVERAGE(U22:U25)</f>
        <v>93</v>
      </c>
      <c r="V52"/>
      <c r="W52" s="5"/>
      <c r="X52"/>
      <c r="AB52" s="1">
        <f>AVERAGE(AB49:AC49)</f>
        <v>0.16553167873245955</v>
      </c>
    </row>
    <row r="53" spans="2:29" x14ac:dyDescent="0.2">
      <c r="B53" s="11"/>
      <c r="C53" s="11"/>
      <c r="D53"/>
      <c r="E53" s="11" t="str">
        <f>A26</f>
        <v>Sakurajima (5)</v>
      </c>
      <c r="F53" s="27">
        <f>AVERAGE(F27:F31)</f>
        <v>1.1454632185236981</v>
      </c>
      <c r="G53" s="27">
        <f t="shared" ref="G53:T53" si="21">AVERAGE(H27:H31)</f>
        <v>21.617372320833237</v>
      </c>
      <c r="H53" s="27">
        <f>AVERAGE(J27:J31)</f>
        <v>72.08</v>
      </c>
      <c r="I53" s="27"/>
      <c r="J53" s="27">
        <f t="shared" si="21"/>
        <v>174.12332112332112</v>
      </c>
      <c r="K53" s="27">
        <f t="shared" si="21"/>
        <v>32.767692307692315</v>
      </c>
      <c r="L53" s="27">
        <f t="shared" si="21"/>
        <v>90.4</v>
      </c>
      <c r="M53" s="27">
        <f t="shared" si="21"/>
        <v>11.6</v>
      </c>
      <c r="N53" s="27">
        <f t="shared" si="21"/>
        <v>300.2</v>
      </c>
      <c r="O53" s="27">
        <f t="shared" si="21"/>
        <v>60.4</v>
      </c>
      <c r="P53" s="27">
        <f t="shared" si="21"/>
        <v>874.4</v>
      </c>
      <c r="Q53" s="27">
        <f t="shared" si="21"/>
        <v>135.19999999999999</v>
      </c>
      <c r="R53" s="27">
        <f>AVERAGE(T27:T31)</f>
        <v>221</v>
      </c>
      <c r="S53" s="27"/>
      <c r="T53" s="27">
        <f t="shared" si="21"/>
        <v>54.8</v>
      </c>
      <c r="V53"/>
      <c r="X53" s="5"/>
      <c r="AB53" s="1">
        <f>_xlfn.STDEV.P(AB3:AC31)</f>
        <v>6.6818297483394823E-2</v>
      </c>
    </row>
    <row r="54" spans="2:29" x14ac:dyDescent="0.2">
      <c r="B54" s="11"/>
      <c r="C54" s="11"/>
      <c r="D54"/>
      <c r="E54" s="11"/>
      <c r="F54" s="27">
        <f>AVERAGE(F33:F37)</f>
        <v>1.1114450537029816</v>
      </c>
      <c r="G54" s="27">
        <f>AVERAGE(H33:H37)</f>
        <v>19.96</v>
      </c>
      <c r="H54" s="27">
        <f>AVERAGE(J33:J37)</f>
        <v>75.400000000000006</v>
      </c>
      <c r="I54" s="27"/>
      <c r="J54" s="27">
        <f>AVERAGE('Width and Depths'!U2:U51)</f>
        <v>362.19199999999995</v>
      </c>
      <c r="K54" s="27">
        <f>AVERAGE('Width and Depths'!V2:V51)</f>
        <v>91.612000000000009</v>
      </c>
      <c r="L54" s="27">
        <f>MIN(U1:U51)</f>
        <v>25</v>
      </c>
      <c r="M54" s="27">
        <f t="shared" ref="K54:O54" si="22">AVERAGE(Y1:Y51)</f>
        <v>3.375922184313672</v>
      </c>
      <c r="N54" s="27">
        <f t="shared" si="22"/>
        <v>7.8737822932153891</v>
      </c>
      <c r="O54" s="27">
        <f t="shared" si="22"/>
        <v>6.2092188362670031</v>
      </c>
      <c r="P54" s="27">
        <f t="shared" ref="P54" si="23">AVERAGE(Q28:Q32)</f>
        <v>824.25</v>
      </c>
      <c r="Q54" s="27">
        <f t="shared" ref="Q54" si="24">AVERAGE(R28:R32)</f>
        <v>132.75</v>
      </c>
      <c r="R54" s="27"/>
      <c r="S54" s="27"/>
      <c r="T54" s="27"/>
      <c r="V54"/>
      <c r="X54" s="5"/>
    </row>
    <row r="55" spans="2:29" x14ac:dyDescent="0.2">
      <c r="D55"/>
      <c r="E55" s="1" t="s">
        <v>60</v>
      </c>
      <c r="F55" s="28">
        <f>AVERAGE(F3:F8,F10:F13,F15:F18,F20:F25,F27:F31)</f>
        <v>1.1331535971862294</v>
      </c>
      <c r="G55" s="28">
        <f t="shared" ref="G55:T55" si="25">AVERAGE(H3:H8,H10:H13,H15:H18,H20:H25,H27:H31)</f>
        <v>17.859428783341549</v>
      </c>
      <c r="H55" s="28">
        <f>AVERAGE(J3:J8,J10:J13,J15:J18,J20:J25,J27:J31)</f>
        <v>60.10833333333332</v>
      </c>
      <c r="I55" s="28"/>
      <c r="J55" s="28">
        <f t="shared" si="25"/>
        <v>306.64402786102784</v>
      </c>
      <c r="K55" s="28">
        <f t="shared" si="25"/>
        <v>34.693135864135861</v>
      </c>
      <c r="L55" s="28">
        <f t="shared" si="25"/>
        <v>141.77600000000001</v>
      </c>
      <c r="M55" s="28">
        <f t="shared" si="25"/>
        <v>12.92</v>
      </c>
      <c r="N55" s="28">
        <f t="shared" si="25"/>
        <v>503.68</v>
      </c>
      <c r="O55" s="28">
        <f t="shared" si="25"/>
        <v>74.12</v>
      </c>
      <c r="P55" s="28">
        <f t="shared" si="25"/>
        <v>1469.92</v>
      </c>
      <c r="Q55" s="28">
        <f t="shared" si="25"/>
        <v>203.56</v>
      </c>
      <c r="R55" s="28">
        <f>AVERAGE(T3:T8,T10:T13,T15:T18,T20:T25,T27:T31)</f>
        <v>371.05833333333334</v>
      </c>
      <c r="S55" s="28"/>
      <c r="T55" s="28">
        <f t="shared" si="25"/>
        <v>65.3</v>
      </c>
      <c r="V55" s="1">
        <f>AVERAGE(W3:W8,W10:W13,W15:W18,W20:W25,W27:W31)</f>
        <v>10.738972624540995</v>
      </c>
    </row>
    <row r="56" spans="2:29" x14ac:dyDescent="0.2">
      <c r="D56"/>
      <c r="E56" s="1" t="s">
        <v>61</v>
      </c>
      <c r="F56" s="28">
        <f>_xlfn.STDEV.P(F3:F8,F10:F13,F15:F18,F20:F25,F27:F31)</f>
        <v>5.8523688269605516E-2</v>
      </c>
      <c r="G56" s="28">
        <f t="shared" ref="G56:T56" si="26">_xlfn.STDEV.P(H3:H8,H10:H13,H15:H18,H20:H25,H27:H31)</f>
        <v>6.6886856422067433</v>
      </c>
      <c r="H56" s="28">
        <f>_xlfn.STDEV.P(J3:J8,J10:J13,J15:J18,J20:J25,J27:J31)</f>
        <v>13.542184605479658</v>
      </c>
      <c r="I56" s="28"/>
      <c r="J56" s="28">
        <f t="shared" si="26"/>
        <v>136.79895279790028</v>
      </c>
      <c r="K56" s="28">
        <f t="shared" si="26"/>
        <v>18.085358165644287</v>
      </c>
      <c r="L56" s="28">
        <f t="shared" si="26"/>
        <v>106.7003478157405</v>
      </c>
      <c r="M56" s="28">
        <f t="shared" si="26"/>
        <v>11.949627609260466</v>
      </c>
      <c r="N56" s="28">
        <f t="shared" si="26"/>
        <v>284.12429955918941</v>
      </c>
      <c r="O56" s="28">
        <f t="shared" si="26"/>
        <v>36.411338893262354</v>
      </c>
      <c r="P56" s="28">
        <f t="shared" si="26"/>
        <v>856.08985135907324</v>
      </c>
      <c r="Q56" s="28">
        <f t="shared" si="26"/>
        <v>128.41466582910226</v>
      </c>
      <c r="R56" s="28">
        <f>_xlfn.STDEV.P(T3:T8,T10:T13,T15:T18,T20:T25,T27:T31)</f>
        <v>191.24787054006933</v>
      </c>
      <c r="S56" s="28"/>
      <c r="T56" s="28">
        <f t="shared" si="26"/>
        <v>38.318533374856614</v>
      </c>
      <c r="V56" s="1">
        <f>_xlfn.STDEV.P(W3:W8,W10:W13,W15:W18,W20:W25,W27:W31)</f>
        <v>7.0810805484832295</v>
      </c>
    </row>
    <row r="57" spans="2:29" x14ac:dyDescent="0.2">
      <c r="G57" s="1">
        <f>DEGREES(ATAN(G55/100))</f>
        <v>10.125940915592842</v>
      </c>
    </row>
    <row r="58" spans="2:29" x14ac:dyDescent="0.2">
      <c r="G58" s="1">
        <f>DEGREES(ATAN(0.18))</f>
        <v>10.203973721731684</v>
      </c>
    </row>
  </sheetData>
  <pageMargins left="0.7" right="0.7" top="0.75" bottom="0.75" header="0.51180555555555496" footer="0.51180555555555496"/>
  <pageSetup firstPageNumber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D10" sqref="D10"/>
    </sheetView>
  </sheetViews>
  <sheetFormatPr baseColWidth="10" defaultColWidth="8.83203125" defaultRowHeight="16" x14ac:dyDescent="0.2"/>
  <cols>
    <col min="1" max="1" width="16.6640625" customWidth="1"/>
    <col min="4" max="4" width="24.6640625" customWidth="1"/>
    <col min="5" max="5" width="14.1640625" customWidth="1"/>
    <col min="11" max="11" width="22.83203125" customWidth="1"/>
    <col min="13" max="13" width="23" customWidth="1"/>
    <col min="16" max="16" width="23.33203125" customWidth="1"/>
  </cols>
  <sheetData>
    <row r="1" spans="1:17" x14ac:dyDescent="0.2">
      <c r="B1" t="s">
        <v>47</v>
      </c>
      <c r="C1" t="s">
        <v>48</v>
      </c>
      <c r="D1" t="s">
        <v>49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P1" t="s">
        <v>98</v>
      </c>
      <c r="Q1" t="s">
        <v>136</v>
      </c>
    </row>
    <row r="2" spans="1:17" x14ac:dyDescent="0.2">
      <c r="A2" t="s">
        <v>20</v>
      </c>
      <c r="B2">
        <v>1.1110578127814701</v>
      </c>
      <c r="C2">
        <v>12.7102830561698</v>
      </c>
      <c r="D2">
        <v>53.733333333333299</v>
      </c>
      <c r="E2">
        <v>267.914880952381</v>
      </c>
      <c r="F2">
        <v>19.602976190476198</v>
      </c>
      <c r="G2">
        <v>133.4</v>
      </c>
      <c r="H2">
        <v>1.8333333333333299</v>
      </c>
      <c r="I2">
        <v>457.66666666666703</v>
      </c>
      <c r="J2">
        <v>58</v>
      </c>
      <c r="K2">
        <v>1816.8333333333301</v>
      </c>
      <c r="L2">
        <v>250.833333333333</v>
      </c>
      <c r="M2">
        <v>472.027777777778</v>
      </c>
      <c r="N2">
        <v>56.6666666666667</v>
      </c>
      <c r="O2">
        <f t="shared" ref="O2:O8" si="0">F2/E2</f>
        <v>7.3168672530587869E-2</v>
      </c>
      <c r="P2">
        <f>AVERAGE(K2,M2)</f>
        <v>1144.4305555555541</v>
      </c>
    </row>
    <row r="3" spans="1:17" x14ac:dyDescent="0.2">
      <c r="A3" t="s">
        <v>36</v>
      </c>
      <c r="B3">
        <v>1.1580586766750001</v>
      </c>
      <c r="C3">
        <v>18.0234476694786</v>
      </c>
      <c r="D3">
        <v>52.4</v>
      </c>
      <c r="E3">
        <v>383.03977272727298</v>
      </c>
      <c r="F3">
        <v>42.896590909090897</v>
      </c>
      <c r="G3">
        <v>231.75</v>
      </c>
      <c r="H3">
        <v>15.25</v>
      </c>
      <c r="I3">
        <v>601.25</v>
      </c>
      <c r="J3">
        <v>105.25</v>
      </c>
      <c r="K3">
        <v>1322</v>
      </c>
      <c r="L3">
        <v>186.25</v>
      </c>
      <c r="M3">
        <v>423.5</v>
      </c>
      <c r="N3">
        <v>68</v>
      </c>
      <c r="O3">
        <f t="shared" si="0"/>
        <v>0.11198991322405982</v>
      </c>
      <c r="P3">
        <f t="shared" ref="P3:P6" si="1">AVERAGE(K3,M3)</f>
        <v>872.75</v>
      </c>
    </row>
    <row r="4" spans="1:17" x14ac:dyDescent="0.2">
      <c r="A4" t="s">
        <v>39</v>
      </c>
      <c r="B4">
        <v>1.0964871152170601</v>
      </c>
      <c r="C4">
        <v>13.9950338761168</v>
      </c>
      <c r="D4">
        <v>47.825000000000003</v>
      </c>
      <c r="E4">
        <v>334.61428571428598</v>
      </c>
      <c r="F4">
        <v>32.029761904761898</v>
      </c>
      <c r="G4">
        <v>265.75</v>
      </c>
      <c r="H4">
        <v>18.5</v>
      </c>
      <c r="I4">
        <v>417.75</v>
      </c>
      <c r="J4">
        <v>54.25</v>
      </c>
      <c r="K4">
        <v>1208</v>
      </c>
      <c r="L4">
        <v>138</v>
      </c>
      <c r="M4">
        <v>414</v>
      </c>
      <c r="N4">
        <v>70.5</v>
      </c>
      <c r="O4">
        <f t="shared" si="0"/>
        <v>9.5721441887603259E-2</v>
      </c>
      <c r="P4">
        <f t="shared" si="1"/>
        <v>811</v>
      </c>
    </row>
    <row r="5" spans="1:17" x14ac:dyDescent="0.2">
      <c r="A5" t="s">
        <v>42</v>
      </c>
      <c r="B5">
        <v>1.1528322987966999</v>
      </c>
      <c r="C5">
        <v>22.3438722433287</v>
      </c>
      <c r="D5">
        <v>71.78</v>
      </c>
      <c r="E5">
        <v>386.22976190476197</v>
      </c>
      <c r="F5">
        <v>47.6944444444445</v>
      </c>
      <c r="G5">
        <v>50.3333333333333</v>
      </c>
      <c r="H5">
        <v>19.8333333333333</v>
      </c>
      <c r="I5">
        <v>711.5</v>
      </c>
      <c r="J5">
        <v>94.1666666666667</v>
      </c>
      <c r="K5">
        <v>1892.5</v>
      </c>
      <c r="L5">
        <v>268.5</v>
      </c>
      <c r="M5">
        <v>320.66666666666703</v>
      </c>
      <c r="N5">
        <v>93</v>
      </c>
      <c r="O5">
        <f t="shared" si="0"/>
        <v>0.12348723259758833</v>
      </c>
      <c r="P5">
        <f t="shared" si="1"/>
        <v>1106.5833333333335</v>
      </c>
    </row>
    <row r="6" spans="1:17" x14ac:dyDescent="0.2">
      <c r="A6" t="s">
        <v>46</v>
      </c>
      <c r="B6">
        <v>1.1454632185236999</v>
      </c>
      <c r="C6">
        <v>21.617372320833201</v>
      </c>
      <c r="D6">
        <v>72.08</v>
      </c>
      <c r="E6">
        <v>174.12332112332101</v>
      </c>
      <c r="F6">
        <v>32.7676923076923</v>
      </c>
      <c r="G6">
        <v>90.4</v>
      </c>
      <c r="H6">
        <v>11.6</v>
      </c>
      <c r="I6">
        <v>300.2</v>
      </c>
      <c r="J6">
        <v>60.4</v>
      </c>
      <c r="K6">
        <v>874.4</v>
      </c>
      <c r="L6">
        <v>135.19999999999999</v>
      </c>
      <c r="M6">
        <v>221</v>
      </c>
      <c r="N6">
        <v>54.8</v>
      </c>
      <c r="O6">
        <f t="shared" si="0"/>
        <v>0.18818669490277484</v>
      </c>
      <c r="P6">
        <f t="shared" si="1"/>
        <v>547.70000000000005</v>
      </c>
    </row>
    <row r="7" spans="1:17" x14ac:dyDescent="0.2">
      <c r="A7" t="s">
        <v>60</v>
      </c>
      <c r="B7">
        <v>1.1331535971862301</v>
      </c>
      <c r="C7">
        <v>17.8594287833415</v>
      </c>
      <c r="D7">
        <v>60.108333333333299</v>
      </c>
      <c r="E7">
        <v>306.64402786102801</v>
      </c>
      <c r="F7">
        <v>34.693135864135897</v>
      </c>
      <c r="G7">
        <v>141.77600000000001</v>
      </c>
      <c r="H7">
        <v>12.92</v>
      </c>
      <c r="I7">
        <v>503.68</v>
      </c>
      <c r="J7">
        <v>74.12</v>
      </c>
      <c r="K7">
        <v>1469.92</v>
      </c>
      <c r="L7">
        <v>203.56</v>
      </c>
      <c r="M7">
        <v>371.058333333333</v>
      </c>
      <c r="N7">
        <v>65.3</v>
      </c>
      <c r="O7">
        <f t="shared" si="0"/>
        <v>0.11313814296705928</v>
      </c>
      <c r="P7">
        <f>AVERAGE(channels!Q2:Q30,channels!T2:T30)</f>
        <v>995.9108527131782</v>
      </c>
      <c r="Q7">
        <f>AVERAGE(channels!AB3:AC8,channels!AB10:AC13,channels!AC20:AC25,channels!AB22,channels!AB24:AB25,channels!AB27:AC31,channels!AB15,channels!AB17,channels!AC15:AC18)</f>
        <v>0.16296142376370804</v>
      </c>
    </row>
    <row r="8" spans="1:17" x14ac:dyDescent="0.2">
      <c r="A8" t="s">
        <v>61</v>
      </c>
      <c r="B8">
        <v>5.8523688269605502E-2</v>
      </c>
      <c r="C8">
        <v>6.6886856422067398</v>
      </c>
      <c r="D8">
        <v>13.542184605479701</v>
      </c>
      <c r="E8">
        <v>136.7989527979</v>
      </c>
      <c r="F8">
        <v>18.085358165644301</v>
      </c>
      <c r="G8">
        <v>106.700347815741</v>
      </c>
      <c r="H8">
        <v>11.949627609260499</v>
      </c>
      <c r="I8">
        <v>284.12429955918901</v>
      </c>
      <c r="J8">
        <v>36.411338893262403</v>
      </c>
      <c r="K8">
        <v>856.08985135907301</v>
      </c>
      <c r="L8">
        <v>128.41466582910201</v>
      </c>
      <c r="M8">
        <v>191.24787054006899</v>
      </c>
      <c r="N8">
        <v>38.318533374856599</v>
      </c>
      <c r="O8">
        <f t="shared" si="0"/>
        <v>0.13220392258676653</v>
      </c>
      <c r="P8">
        <f>_xlfn.STDEV.P(channels!Q3:Q31,channels!T3:T31)</f>
        <v>849.44941273809673</v>
      </c>
      <c r="Q8">
        <f>_xlfn.STDEV.P(channels!AB4:AC9,channels!AB11:AC14,channels!AC21:AC26,channels!AB23,channels!AB25:AB26,channels!AB28:AC32,channels!AB16,channels!AB18,channels!AC16:AC19)</f>
        <v>6.2163350124394799E-2</v>
      </c>
    </row>
    <row r="9" spans="1:17" x14ac:dyDescent="0.2">
      <c r="D9">
        <f>DEGREES(ATAN(D7))</f>
        <v>89.04687934010667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opLeftCell="H1" workbookViewId="0">
      <selection activeCell="W2" sqref="W2"/>
    </sheetView>
  </sheetViews>
  <sheetFormatPr baseColWidth="10" defaultColWidth="8.83203125" defaultRowHeight="16" x14ac:dyDescent="0.2"/>
  <cols>
    <col min="1" max="5" width="8.83203125" style="29"/>
    <col min="6" max="10" width="8.83203125" style="30"/>
    <col min="11" max="13" width="8.83203125" style="31"/>
    <col min="14" max="16" width="8.83203125" style="32"/>
    <col min="17" max="19" width="8.83203125" style="30"/>
  </cols>
  <sheetData>
    <row r="1" spans="1:23" x14ac:dyDescent="0.2">
      <c r="A1" s="29" t="s">
        <v>72</v>
      </c>
      <c r="B1" s="29" t="s">
        <v>73</v>
      </c>
      <c r="C1" s="29" t="s">
        <v>74</v>
      </c>
      <c r="D1" s="29" t="s">
        <v>75</v>
      </c>
      <c r="E1" s="29" t="s">
        <v>73</v>
      </c>
      <c r="F1" s="30" t="s">
        <v>76</v>
      </c>
      <c r="G1" s="30" t="s">
        <v>73</v>
      </c>
      <c r="H1" s="30" t="s">
        <v>74</v>
      </c>
      <c r="I1" s="30" t="s">
        <v>75</v>
      </c>
      <c r="J1" s="30" t="s">
        <v>73</v>
      </c>
      <c r="K1" s="31" t="s">
        <v>77</v>
      </c>
      <c r="L1"/>
      <c r="M1"/>
      <c r="N1" s="32" t="s">
        <v>78</v>
      </c>
      <c r="O1"/>
      <c r="P1"/>
      <c r="Q1" s="30" t="s">
        <v>79</v>
      </c>
      <c r="R1"/>
      <c r="S1"/>
      <c r="T1" s="73" t="s">
        <v>130</v>
      </c>
      <c r="U1" s="73" t="s">
        <v>113</v>
      </c>
      <c r="V1" s="73" t="s">
        <v>114</v>
      </c>
    </row>
    <row r="2" spans="1:23" x14ac:dyDescent="0.2">
      <c r="A2" s="29" t="s">
        <v>80</v>
      </c>
      <c r="B2" s="29">
        <v>25</v>
      </c>
      <c r="C2" s="29">
        <v>56.4</v>
      </c>
      <c r="D2" s="29">
        <v>2</v>
      </c>
      <c r="E2" s="29">
        <f>B2</f>
        <v>25</v>
      </c>
      <c r="F2" s="30" t="s">
        <v>80</v>
      </c>
      <c r="G2" s="30">
        <v>0</v>
      </c>
      <c r="H2" s="30">
        <v>400</v>
      </c>
      <c r="I2" s="30">
        <v>33</v>
      </c>
      <c r="J2" s="30">
        <f>G2</f>
        <v>0</v>
      </c>
      <c r="K2" s="31" t="s">
        <v>27</v>
      </c>
      <c r="L2" s="31">
        <v>251</v>
      </c>
      <c r="M2" s="31">
        <v>11</v>
      </c>
      <c r="N2" s="32" t="s">
        <v>37</v>
      </c>
      <c r="O2" s="32">
        <v>1230</v>
      </c>
      <c r="P2" s="32">
        <v>170</v>
      </c>
      <c r="Q2" s="30" t="s">
        <v>81</v>
      </c>
      <c r="R2" s="30">
        <v>328</v>
      </c>
      <c r="S2" s="30">
        <v>60</v>
      </c>
      <c r="T2" s="73" t="s">
        <v>131</v>
      </c>
      <c r="U2" s="74">
        <v>90.6</v>
      </c>
      <c r="V2" s="74">
        <v>24</v>
      </c>
      <c r="W2">
        <f>MAX(V2:V51)</f>
        <v>220</v>
      </c>
    </row>
    <row r="3" spans="1:23" x14ac:dyDescent="0.2">
      <c r="A3"/>
      <c r="B3" s="29">
        <v>1000</v>
      </c>
      <c r="C3" s="29">
        <v>40</v>
      </c>
      <c r="D3" s="29">
        <v>1</v>
      </c>
      <c r="E3" s="29">
        <f>B3-C2</f>
        <v>943.6</v>
      </c>
      <c r="F3"/>
      <c r="G3" s="30">
        <v>1000</v>
      </c>
      <c r="H3" s="30">
        <v>525</v>
      </c>
      <c r="I3" s="30">
        <v>130</v>
      </c>
      <c r="J3" s="30">
        <f>G3-H2</f>
        <v>600</v>
      </c>
      <c r="K3"/>
      <c r="L3" s="31">
        <v>315</v>
      </c>
      <c r="M3" s="31">
        <v>29</v>
      </c>
      <c r="N3"/>
      <c r="O3" s="32">
        <v>658</v>
      </c>
      <c r="P3" s="32">
        <v>71</v>
      </c>
      <c r="Q3"/>
      <c r="R3" s="30">
        <v>170</v>
      </c>
      <c r="S3" s="30">
        <v>43</v>
      </c>
      <c r="T3" s="73"/>
      <c r="U3" s="73">
        <v>112</v>
      </c>
      <c r="V3" s="73">
        <v>30</v>
      </c>
    </row>
    <row r="4" spans="1:23" x14ac:dyDescent="0.2">
      <c r="A4"/>
      <c r="B4" s="29">
        <v>2000</v>
      </c>
      <c r="C4" s="29">
        <v>176</v>
      </c>
      <c r="D4" s="29">
        <v>14</v>
      </c>
      <c r="E4" s="29">
        <f>B4-C3-C2</f>
        <v>1903.6</v>
      </c>
      <c r="F4"/>
      <c r="G4" s="30">
        <v>2940</v>
      </c>
      <c r="H4" s="30">
        <v>250</v>
      </c>
      <c r="I4" s="30">
        <v>3</v>
      </c>
      <c r="J4" s="30">
        <f>G4-H3-H2</f>
        <v>2015</v>
      </c>
      <c r="K4"/>
      <c r="L4" s="31">
        <v>324</v>
      </c>
      <c r="M4" s="31">
        <v>16</v>
      </c>
      <c r="N4"/>
      <c r="O4" s="32">
        <v>666</v>
      </c>
      <c r="P4" s="32">
        <v>108</v>
      </c>
      <c r="Q4"/>
      <c r="R4" s="30">
        <v>197</v>
      </c>
      <c r="S4" s="30">
        <v>38</v>
      </c>
      <c r="T4" s="73"/>
      <c r="U4" s="73">
        <v>80</v>
      </c>
      <c r="V4" s="73">
        <v>27</v>
      </c>
    </row>
    <row r="5" spans="1:23" x14ac:dyDescent="0.2">
      <c r="A5"/>
      <c r="B5" s="29">
        <v>3100</v>
      </c>
      <c r="C5" s="29">
        <v>107</v>
      </c>
      <c r="D5" s="29">
        <v>2</v>
      </c>
      <c r="E5" s="29">
        <f>B5-C4-C3-C2</f>
        <v>2827.6</v>
      </c>
      <c r="F5"/>
      <c r="G5" s="30">
        <v>4960</v>
      </c>
      <c r="H5" s="30">
        <v>368</v>
      </c>
      <c r="I5" s="30">
        <v>20</v>
      </c>
      <c r="J5" s="30">
        <f>G5-H4-H3-H2</f>
        <v>3785</v>
      </c>
      <c r="K5"/>
      <c r="L5" s="31">
        <v>443</v>
      </c>
      <c r="M5" s="31">
        <v>30</v>
      </c>
      <c r="N5"/>
      <c r="O5" s="32">
        <v>400</v>
      </c>
      <c r="P5" s="32">
        <v>25</v>
      </c>
      <c r="Q5"/>
      <c r="R5" s="30">
        <v>194</v>
      </c>
      <c r="S5" s="30">
        <v>19</v>
      </c>
      <c r="T5" s="73"/>
      <c r="U5" s="73">
        <v>123</v>
      </c>
      <c r="V5" s="73">
        <v>28</v>
      </c>
    </row>
    <row r="6" spans="1:23" x14ac:dyDescent="0.2">
      <c r="A6"/>
      <c r="B6" s="29">
        <v>4000</v>
      </c>
      <c r="C6" s="29">
        <v>363</v>
      </c>
      <c r="D6" s="29">
        <f>1012-991</f>
        <v>21</v>
      </c>
      <c r="E6" s="29">
        <f>B6-SUM(C2:C5)</f>
        <v>3620.6</v>
      </c>
      <c r="F6"/>
      <c r="G6" s="30">
        <v>5700</v>
      </c>
      <c r="H6" s="30">
        <v>456</v>
      </c>
      <c r="I6" s="30">
        <v>16.5</v>
      </c>
      <c r="J6" s="30">
        <f>G6-SUM(H2:H5)</f>
        <v>4157</v>
      </c>
      <c r="K6"/>
      <c r="L6" s="31">
        <v>305</v>
      </c>
      <c r="M6" s="31">
        <v>17</v>
      </c>
      <c r="N6"/>
      <c r="O6" s="32">
        <v>513</v>
      </c>
      <c r="P6" s="32">
        <v>25</v>
      </c>
      <c r="Q6"/>
      <c r="R6" s="30">
        <v>166</v>
      </c>
      <c r="S6" s="30">
        <v>10</v>
      </c>
      <c r="T6" s="73"/>
      <c r="U6" s="73">
        <v>93</v>
      </c>
      <c r="V6" s="73">
        <v>29</v>
      </c>
    </row>
    <row r="7" spans="1:23" x14ac:dyDescent="0.2">
      <c r="A7"/>
      <c r="B7" s="29">
        <v>6000</v>
      </c>
      <c r="C7" s="29">
        <v>212</v>
      </c>
      <c r="D7" s="29">
        <f>842-832</f>
        <v>10</v>
      </c>
      <c r="E7" s="29">
        <f>B7-SUM(C3:C6)</f>
        <v>5314</v>
      </c>
      <c r="F7"/>
      <c r="G7" s="30">
        <v>7040</v>
      </c>
      <c r="H7" s="30">
        <v>211</v>
      </c>
      <c r="I7" s="30">
        <v>2</v>
      </c>
      <c r="J7" s="30">
        <f>G7-SUM(H3:H6)</f>
        <v>5441</v>
      </c>
      <c r="K7"/>
      <c r="L7" s="31">
        <v>192</v>
      </c>
      <c r="M7" s="31">
        <v>16</v>
      </c>
      <c r="N7"/>
      <c r="O7" s="32">
        <v>507</v>
      </c>
      <c r="P7" s="32">
        <v>25</v>
      </c>
      <c r="Q7"/>
      <c r="R7" s="30">
        <v>183</v>
      </c>
      <c r="S7" s="30">
        <v>29</v>
      </c>
      <c r="T7" s="73"/>
      <c r="U7" s="73">
        <v>86</v>
      </c>
      <c r="V7" s="73">
        <v>28</v>
      </c>
    </row>
    <row r="8" spans="1:23" x14ac:dyDescent="0.2">
      <c r="A8"/>
      <c r="B8" s="29">
        <v>8000</v>
      </c>
      <c r="C8" s="29">
        <v>381</v>
      </c>
      <c r="D8" s="29">
        <v>10</v>
      </c>
      <c r="E8" s="29">
        <f>B8-SUM($C$2:C7)</f>
        <v>7045.6</v>
      </c>
      <c r="F8"/>
      <c r="G8" s="30">
        <v>10400</v>
      </c>
      <c r="H8" s="30">
        <v>278</v>
      </c>
      <c r="I8" s="30">
        <v>22</v>
      </c>
      <c r="J8" s="30">
        <f>G8-SUM($H$2:H7)</f>
        <v>8190</v>
      </c>
      <c r="K8" s="31" t="s">
        <v>32</v>
      </c>
      <c r="L8" s="31">
        <v>404</v>
      </c>
      <c r="M8" s="31">
        <v>71</v>
      </c>
      <c r="N8" s="32" t="s">
        <v>44</v>
      </c>
      <c r="O8" s="32">
        <v>261</v>
      </c>
      <c r="P8" s="32">
        <v>29</v>
      </c>
      <c r="Q8"/>
      <c r="R8" s="30">
        <v>89</v>
      </c>
      <c r="S8" s="30">
        <v>9</v>
      </c>
      <c r="T8" s="73"/>
      <c r="U8" s="73">
        <v>243</v>
      </c>
      <c r="V8" s="73">
        <v>65</v>
      </c>
    </row>
    <row r="9" spans="1:23" x14ac:dyDescent="0.2">
      <c r="A9"/>
      <c r="B9" s="29">
        <v>10000</v>
      </c>
      <c r="C9" s="29">
        <v>255</v>
      </c>
      <c r="D9" s="29">
        <v>10</v>
      </c>
      <c r="E9" s="29">
        <f>B9-SUM($C$2:C8)</f>
        <v>8664.6</v>
      </c>
      <c r="F9"/>
      <c r="G9" s="30">
        <v>11400</v>
      </c>
      <c r="H9" s="30">
        <v>196</v>
      </c>
      <c r="I9" s="30">
        <v>16</v>
      </c>
      <c r="J9" s="30">
        <f>G9-SUM($H$2:H8)</f>
        <v>8912</v>
      </c>
      <c r="K9"/>
      <c r="L9" s="31">
        <v>380</v>
      </c>
      <c r="M9" s="31">
        <v>78</v>
      </c>
      <c r="N9"/>
      <c r="O9" s="32">
        <v>291</v>
      </c>
      <c r="P9" s="32">
        <v>56</v>
      </c>
      <c r="Q9" s="30" t="s">
        <v>82</v>
      </c>
      <c r="R9" s="30">
        <v>81</v>
      </c>
      <c r="S9" s="30">
        <v>9</v>
      </c>
      <c r="T9" s="73"/>
      <c r="U9" s="74">
        <v>268</v>
      </c>
      <c r="V9" s="74">
        <v>70</v>
      </c>
    </row>
    <row r="10" spans="1:23" x14ac:dyDescent="0.2">
      <c r="A10" s="29" t="s">
        <v>83</v>
      </c>
      <c r="B10" s="29">
        <v>1000</v>
      </c>
      <c r="C10" s="29">
        <v>568</v>
      </c>
      <c r="D10" s="29">
        <v>113</v>
      </c>
      <c r="E10" s="29">
        <f>B10</f>
        <v>1000</v>
      </c>
      <c r="F10"/>
      <c r="G10" s="30">
        <v>12800</v>
      </c>
      <c r="H10" s="30">
        <v>164</v>
      </c>
      <c r="I10" s="30">
        <v>19</v>
      </c>
      <c r="J10" s="30">
        <f>G10-SUM($H$2:H9)</f>
        <v>10116</v>
      </c>
      <c r="K10"/>
      <c r="L10" s="31">
        <v>271</v>
      </c>
      <c r="M10" s="31">
        <v>44</v>
      </c>
      <c r="N10"/>
      <c r="O10" s="32">
        <v>502</v>
      </c>
      <c r="P10" s="32">
        <v>59</v>
      </c>
      <c r="Q10"/>
      <c r="R10" s="30">
        <v>97</v>
      </c>
      <c r="S10" s="30">
        <v>20</v>
      </c>
      <c r="T10" s="73"/>
      <c r="U10" s="73">
        <v>288</v>
      </c>
      <c r="V10" s="73">
        <v>60</v>
      </c>
    </row>
    <row r="11" spans="1:23" x14ac:dyDescent="0.2">
      <c r="A11"/>
      <c r="B11" s="29">
        <v>2000</v>
      </c>
      <c r="C11" s="29">
        <v>267</v>
      </c>
      <c r="D11" s="29">
        <v>38</v>
      </c>
      <c r="E11" s="29">
        <f>B11-SUM(C$10:C10)</f>
        <v>1432</v>
      </c>
      <c r="F11"/>
      <c r="G11" s="30">
        <v>14000</v>
      </c>
      <c r="H11" s="30">
        <v>244</v>
      </c>
      <c r="I11" s="30">
        <v>21</v>
      </c>
      <c r="J11" s="30">
        <f>G11-SUM($H$2:H10)</f>
        <v>11152</v>
      </c>
      <c r="K11"/>
      <c r="L11" s="31">
        <v>217</v>
      </c>
      <c r="M11" s="31">
        <v>24</v>
      </c>
      <c r="N11"/>
      <c r="O11" s="32">
        <v>388</v>
      </c>
      <c r="P11" s="32">
        <v>46</v>
      </c>
      <c r="Q11"/>
      <c r="R11" s="30">
        <v>120</v>
      </c>
      <c r="S11" s="30">
        <v>22</v>
      </c>
      <c r="T11" s="73"/>
      <c r="U11" s="73">
        <v>258</v>
      </c>
      <c r="V11" s="73">
        <v>61</v>
      </c>
    </row>
    <row r="12" spans="1:23" x14ac:dyDescent="0.2">
      <c r="A12"/>
      <c r="B12" s="29">
        <v>3000</v>
      </c>
      <c r="C12" s="29">
        <v>355</v>
      </c>
      <c r="D12" s="29">
        <v>14</v>
      </c>
      <c r="E12" s="29">
        <f>B12-SUM(C$10:C11)</f>
        <v>2165</v>
      </c>
      <c r="F12"/>
      <c r="G12" s="30">
        <v>14700</v>
      </c>
      <c r="H12" s="30">
        <v>20</v>
      </c>
      <c r="I12" s="30">
        <v>5</v>
      </c>
      <c r="J12" s="30">
        <f>G12-SUM($H$2:H11)</f>
        <v>11608</v>
      </c>
      <c r="K12"/>
      <c r="L12" s="31">
        <v>242</v>
      </c>
      <c r="M12" s="31">
        <v>15</v>
      </c>
      <c r="N12"/>
      <c r="O12" s="32">
        <v>440</v>
      </c>
      <c r="P12" s="32">
        <v>65</v>
      </c>
      <c r="Q12"/>
      <c r="R12" s="30">
        <v>113</v>
      </c>
      <c r="S12" s="30">
        <v>12</v>
      </c>
      <c r="T12" s="73" t="s">
        <v>32</v>
      </c>
      <c r="U12" s="73">
        <v>172</v>
      </c>
      <c r="V12" s="73">
        <v>38</v>
      </c>
    </row>
    <row r="13" spans="1:23" x14ac:dyDescent="0.2">
      <c r="A13"/>
      <c r="B13" s="29">
        <v>4000</v>
      </c>
      <c r="C13" s="29">
        <v>330</v>
      </c>
      <c r="D13" s="29">
        <v>43</v>
      </c>
      <c r="E13" s="29">
        <f>B13-SUM(C$10:C12)</f>
        <v>2810</v>
      </c>
      <c r="F13" s="30" t="s">
        <v>32</v>
      </c>
      <c r="G13" s="30">
        <v>0</v>
      </c>
      <c r="H13" s="30">
        <v>407</v>
      </c>
      <c r="I13" s="30">
        <v>51</v>
      </c>
      <c r="J13" s="30">
        <v>0</v>
      </c>
      <c r="K13"/>
      <c r="L13" s="31">
        <v>271</v>
      </c>
      <c r="M13" s="31">
        <v>18</v>
      </c>
      <c r="N13"/>
      <c r="O13" s="32">
        <v>1450</v>
      </c>
      <c r="P13" s="32">
        <v>93</v>
      </c>
      <c r="Q13"/>
      <c r="R13" s="30">
        <v>82</v>
      </c>
      <c r="S13" s="30">
        <v>9</v>
      </c>
      <c r="T13" s="73"/>
      <c r="U13" s="73">
        <v>152</v>
      </c>
      <c r="V13" s="73">
        <v>45</v>
      </c>
    </row>
    <row r="14" spans="1:23" x14ac:dyDescent="0.2">
      <c r="A14"/>
      <c r="B14" s="29">
        <v>5000</v>
      </c>
      <c r="C14" s="29">
        <v>292</v>
      </c>
      <c r="D14" s="29">
        <v>23</v>
      </c>
      <c r="E14" s="29">
        <f>B14-SUM(C$10:C13)</f>
        <v>3480</v>
      </c>
      <c r="F14"/>
      <c r="G14" s="30">
        <v>1700</v>
      </c>
      <c r="H14" s="30">
        <v>379</v>
      </c>
      <c r="I14" s="30">
        <v>90</v>
      </c>
      <c r="J14" s="30">
        <f>G14-H13</f>
        <v>1293</v>
      </c>
      <c r="K14"/>
      <c r="L14" s="31">
        <v>307</v>
      </c>
      <c r="M14" s="31">
        <v>11</v>
      </c>
      <c r="N14"/>
      <c r="O14" s="32">
        <v>1170</v>
      </c>
      <c r="P14" s="32">
        <v>99</v>
      </c>
      <c r="Q14"/>
      <c r="R14" s="30">
        <v>91</v>
      </c>
      <c r="S14" s="30">
        <v>18</v>
      </c>
      <c r="T14" s="73"/>
      <c r="U14" s="73">
        <v>183</v>
      </c>
      <c r="V14" s="73">
        <v>46</v>
      </c>
    </row>
    <row r="15" spans="1:23" x14ac:dyDescent="0.2">
      <c r="A15"/>
      <c r="B15" s="29">
        <v>6000</v>
      </c>
      <c r="C15" s="29">
        <v>348</v>
      </c>
      <c r="D15" s="29">
        <v>27</v>
      </c>
      <c r="E15" s="29">
        <f>B15-SUM(C$10:C14)</f>
        <v>4188</v>
      </c>
      <c r="F15"/>
      <c r="G15" s="30">
        <v>2760</v>
      </c>
      <c r="H15" s="30">
        <v>569</v>
      </c>
      <c r="I15" s="30">
        <v>100</v>
      </c>
      <c r="J15" s="30">
        <f>G15-SUM(H13:H14)</f>
        <v>1974</v>
      </c>
      <c r="K15" s="31" t="s">
        <v>41</v>
      </c>
      <c r="L15" s="31">
        <v>368</v>
      </c>
      <c r="M15" s="31">
        <v>48</v>
      </c>
      <c r="N15" s="32" t="s">
        <v>84</v>
      </c>
      <c r="O15" s="32">
        <v>319</v>
      </c>
      <c r="P15" s="32">
        <v>10</v>
      </c>
      <c r="Q15"/>
      <c r="R15" s="30">
        <v>115</v>
      </c>
      <c r="S15" s="30">
        <v>14</v>
      </c>
      <c r="T15" s="73"/>
      <c r="U15" s="73">
        <v>177</v>
      </c>
      <c r="V15" s="73">
        <v>38</v>
      </c>
    </row>
    <row r="16" spans="1:23" x14ac:dyDescent="0.2">
      <c r="A16"/>
      <c r="B16" s="29">
        <v>7000</v>
      </c>
      <c r="C16" s="29">
        <v>290</v>
      </c>
      <c r="D16" s="29">
        <v>21</v>
      </c>
      <c r="E16" s="29">
        <f>B16-SUM(C$10:C15)</f>
        <v>4840</v>
      </c>
      <c r="F16"/>
      <c r="G16" s="30">
        <v>4250</v>
      </c>
      <c r="H16" s="30">
        <v>774</v>
      </c>
      <c r="I16" s="30">
        <v>84</v>
      </c>
      <c r="J16" s="30">
        <f>G16-SUM(H13:H15)</f>
        <v>2895</v>
      </c>
      <c r="K16"/>
      <c r="L16" s="31">
        <v>328</v>
      </c>
      <c r="M16" s="31">
        <v>43</v>
      </c>
      <c r="N16"/>
      <c r="O16" s="32">
        <v>290</v>
      </c>
      <c r="P16" s="32">
        <v>60</v>
      </c>
      <c r="Q16"/>
      <c r="R16" s="30">
        <v>114</v>
      </c>
      <c r="S16" s="30">
        <v>19</v>
      </c>
      <c r="T16" s="73"/>
      <c r="U16" s="73">
        <v>213</v>
      </c>
      <c r="V16" s="73">
        <v>58</v>
      </c>
    </row>
    <row r="17" spans="1:23" x14ac:dyDescent="0.2">
      <c r="A17"/>
      <c r="B17" s="29">
        <v>8000</v>
      </c>
      <c r="C17" s="29">
        <v>125</v>
      </c>
      <c r="D17" s="29">
        <v>4</v>
      </c>
      <c r="E17" s="29">
        <f>B17-SUM(C$10:C16)</f>
        <v>5550</v>
      </c>
      <c r="F17"/>
      <c r="G17"/>
      <c r="H17"/>
      <c r="I17"/>
      <c r="K17"/>
      <c r="L17" s="31">
        <v>292</v>
      </c>
      <c r="M17" s="31">
        <v>32</v>
      </c>
      <c r="N17"/>
      <c r="O17" s="32">
        <v>192</v>
      </c>
      <c r="P17" s="32">
        <v>37</v>
      </c>
      <c r="Q17"/>
      <c r="R17" s="30">
        <v>106</v>
      </c>
      <c r="S17" s="30">
        <v>28</v>
      </c>
      <c r="T17" s="73"/>
      <c r="U17" s="73">
        <v>259</v>
      </c>
      <c r="V17" s="73">
        <v>77</v>
      </c>
    </row>
    <row r="18" spans="1:23" x14ac:dyDescent="0.2">
      <c r="A18" s="29" t="s">
        <v>85</v>
      </c>
      <c r="B18" s="29">
        <v>0</v>
      </c>
      <c r="C18" s="29">
        <v>149</v>
      </c>
      <c r="D18" s="29">
        <v>4</v>
      </c>
      <c r="E18" s="29">
        <v>0</v>
      </c>
      <c r="F18" s="30" t="s">
        <v>27</v>
      </c>
      <c r="G18" s="30">
        <v>1500</v>
      </c>
      <c r="H18" s="30">
        <v>279</v>
      </c>
      <c r="I18" s="30">
        <v>2</v>
      </c>
      <c r="K18"/>
      <c r="L18" s="31">
        <v>276</v>
      </c>
      <c r="M18" s="31">
        <v>27</v>
      </c>
      <c r="N18"/>
      <c r="O18" s="32">
        <v>260</v>
      </c>
      <c r="P18" s="32">
        <v>9</v>
      </c>
      <c r="Q18"/>
      <c r="R18" s="30">
        <v>139</v>
      </c>
      <c r="S18" s="30">
        <v>7</v>
      </c>
      <c r="T18" s="73"/>
      <c r="U18" s="73">
        <v>222</v>
      </c>
      <c r="V18" s="73">
        <v>72</v>
      </c>
    </row>
    <row r="19" spans="1:23" x14ac:dyDescent="0.2">
      <c r="A19"/>
      <c r="B19" s="29">
        <v>1000</v>
      </c>
      <c r="C19" s="29">
        <v>166</v>
      </c>
      <c r="D19" s="29">
        <v>2</v>
      </c>
      <c r="E19" s="29">
        <f>B19-SUM(C$18:C18)</f>
        <v>851</v>
      </c>
      <c r="F19"/>
      <c r="G19"/>
      <c r="H19" s="30">
        <v>307</v>
      </c>
      <c r="I19" s="30">
        <v>3</v>
      </c>
      <c r="K19"/>
      <c r="L19" s="31">
        <v>294</v>
      </c>
      <c r="M19" s="31">
        <v>10</v>
      </c>
      <c r="N19" s="32" t="s">
        <v>27</v>
      </c>
      <c r="O19" s="32">
        <v>185</v>
      </c>
      <c r="P19" s="32">
        <v>13</v>
      </c>
      <c r="Q19"/>
      <c r="R19" s="30">
        <v>187</v>
      </c>
      <c r="S19" s="30">
        <v>36</v>
      </c>
      <c r="T19" s="73"/>
      <c r="U19" s="73">
        <v>133</v>
      </c>
      <c r="V19" s="73">
        <v>46</v>
      </c>
    </row>
    <row r="20" spans="1:23" x14ac:dyDescent="0.2">
      <c r="A20"/>
      <c r="B20" s="29">
        <v>2500</v>
      </c>
      <c r="C20" s="29">
        <v>146</v>
      </c>
      <c r="D20" s="29">
        <v>5</v>
      </c>
      <c r="E20" s="29">
        <f>B20-SUM(C$18:C19)</f>
        <v>2185</v>
      </c>
      <c r="F20"/>
      <c r="G20"/>
      <c r="H20" s="30">
        <v>264</v>
      </c>
      <c r="I20" s="30">
        <v>5</v>
      </c>
      <c r="K20" s="31" t="s">
        <v>29</v>
      </c>
      <c r="L20" s="31">
        <v>402</v>
      </c>
      <c r="M20" s="31">
        <v>32</v>
      </c>
      <c r="N20"/>
      <c r="O20" s="32">
        <v>285</v>
      </c>
      <c r="P20" s="32">
        <v>59</v>
      </c>
      <c r="Q20"/>
      <c r="R20" s="30">
        <v>97</v>
      </c>
      <c r="S20" s="30">
        <v>12</v>
      </c>
      <c r="T20" s="73"/>
      <c r="U20" s="73">
        <v>70</v>
      </c>
      <c r="V20" s="73">
        <v>17</v>
      </c>
    </row>
    <row r="21" spans="1:23" x14ac:dyDescent="0.2">
      <c r="A21"/>
      <c r="B21" s="29">
        <v>3710</v>
      </c>
      <c r="C21" s="29">
        <v>291</v>
      </c>
      <c r="D21" s="29">
        <v>27</v>
      </c>
      <c r="E21" s="29">
        <f>B21-SUM(C$18:C20)</f>
        <v>3249</v>
      </c>
      <c r="F21"/>
      <c r="G21" s="30">
        <v>5000</v>
      </c>
      <c r="H21" s="30">
        <v>266</v>
      </c>
      <c r="I21" s="30">
        <v>7</v>
      </c>
      <c r="L21" s="31">
        <v>456</v>
      </c>
      <c r="M21" s="31">
        <v>61</v>
      </c>
      <c r="N21"/>
      <c r="O21" s="32">
        <v>181</v>
      </c>
      <c r="P21" s="32">
        <v>21</v>
      </c>
      <c r="Q21" s="30" t="s">
        <v>29</v>
      </c>
      <c r="R21" s="30">
        <v>300</v>
      </c>
      <c r="S21" s="30">
        <v>62</v>
      </c>
      <c r="T21" s="73" t="s">
        <v>27</v>
      </c>
      <c r="U21" s="73">
        <v>425</v>
      </c>
      <c r="V21" s="73">
        <v>143</v>
      </c>
      <c r="W21" t="s">
        <v>132</v>
      </c>
    </row>
    <row r="22" spans="1:23" x14ac:dyDescent="0.2">
      <c r="A22"/>
      <c r="B22" s="29">
        <v>5000</v>
      </c>
      <c r="C22" s="29">
        <v>277</v>
      </c>
      <c r="D22" s="29">
        <v>29</v>
      </c>
      <c r="E22" s="29">
        <f>B22-SUM(C$18:C21)</f>
        <v>4248</v>
      </c>
      <c r="F22" s="30" t="s">
        <v>29</v>
      </c>
      <c r="G22"/>
      <c r="H22"/>
      <c r="I22"/>
      <c r="L22" s="31">
        <v>455</v>
      </c>
      <c r="M22" s="31">
        <v>49</v>
      </c>
      <c r="N22"/>
      <c r="O22" s="32">
        <v>172</v>
      </c>
      <c r="P22" s="32">
        <v>36</v>
      </c>
      <c r="Q22"/>
      <c r="R22" s="30">
        <v>291</v>
      </c>
      <c r="S22" s="30">
        <v>41</v>
      </c>
      <c r="T22" s="73"/>
      <c r="U22" s="73">
        <v>429</v>
      </c>
      <c r="V22" s="73">
        <v>115</v>
      </c>
    </row>
    <row r="23" spans="1:23" x14ac:dyDescent="0.2">
      <c r="A23"/>
      <c r="B23" s="29">
        <v>6360</v>
      </c>
      <c r="C23" s="29">
        <v>247</v>
      </c>
      <c r="D23" s="29">
        <v>16</v>
      </c>
      <c r="E23" s="29">
        <f>B23-SUM(C$18:C22)</f>
        <v>5331</v>
      </c>
      <c r="G23" s="30">
        <v>2500</v>
      </c>
      <c r="H23" s="30">
        <v>553</v>
      </c>
      <c r="I23" s="30">
        <v>75</v>
      </c>
      <c r="L23" s="31">
        <v>378</v>
      </c>
      <c r="M23" s="31">
        <v>28</v>
      </c>
      <c r="N23"/>
      <c r="O23" s="32">
        <v>134</v>
      </c>
      <c r="P23" s="32">
        <v>32</v>
      </c>
      <c r="Q23"/>
      <c r="R23" s="30">
        <v>160</v>
      </c>
      <c r="S23" s="30">
        <v>37</v>
      </c>
      <c r="T23" s="73"/>
      <c r="U23" s="73">
        <v>278</v>
      </c>
      <c r="V23" s="73">
        <v>72</v>
      </c>
    </row>
    <row r="24" spans="1:23" x14ac:dyDescent="0.2">
      <c r="A24"/>
      <c r="B24" s="29">
        <v>7000</v>
      </c>
      <c r="C24" s="29">
        <v>213</v>
      </c>
      <c r="D24" s="29">
        <v>9</v>
      </c>
      <c r="E24" s="29">
        <f>B24-SUM(C$18:C23)</f>
        <v>5724</v>
      </c>
      <c r="G24" s="30">
        <v>5540</v>
      </c>
      <c r="H24" s="30">
        <v>390</v>
      </c>
      <c r="I24" s="30">
        <v>86</v>
      </c>
      <c r="L24" s="31">
        <v>424</v>
      </c>
      <c r="M24" s="31">
        <v>25</v>
      </c>
      <c r="N24"/>
      <c r="O24" s="32">
        <v>124</v>
      </c>
      <c r="P24" s="32">
        <v>22</v>
      </c>
      <c r="Q24"/>
      <c r="R24" s="30">
        <v>140</v>
      </c>
      <c r="S24" s="30">
        <v>41</v>
      </c>
      <c r="T24" s="73"/>
      <c r="U24" s="73">
        <v>427</v>
      </c>
      <c r="V24" s="73">
        <v>114</v>
      </c>
    </row>
    <row r="25" spans="1:23" x14ac:dyDescent="0.2">
      <c r="A25" s="29" t="s">
        <v>29</v>
      </c>
      <c r="B25" s="29">
        <v>500</v>
      </c>
      <c r="C25" s="29">
        <v>557</v>
      </c>
      <c r="D25" s="29">
        <v>93.5</v>
      </c>
      <c r="E25" s="29">
        <v>500</v>
      </c>
      <c r="G25" s="30">
        <v>10500</v>
      </c>
      <c r="H25" s="30">
        <v>838</v>
      </c>
      <c r="I25" s="30">
        <v>116</v>
      </c>
      <c r="L25" s="31">
        <v>155</v>
      </c>
      <c r="M25" s="31">
        <v>13</v>
      </c>
      <c r="N25" s="32" t="s">
        <v>45</v>
      </c>
      <c r="O25" s="32">
        <v>205</v>
      </c>
      <c r="P25" s="32">
        <v>22</v>
      </c>
      <c r="Q25"/>
      <c r="R25" s="30">
        <v>102</v>
      </c>
      <c r="S25" s="30">
        <v>14.1</v>
      </c>
      <c r="T25" s="73"/>
      <c r="U25" s="73">
        <v>491</v>
      </c>
      <c r="V25" s="73">
        <v>147</v>
      </c>
    </row>
    <row r="26" spans="1:23" x14ac:dyDescent="0.2">
      <c r="A26"/>
      <c r="B26" s="29">
        <v>1830</v>
      </c>
      <c r="C26" s="29">
        <v>607</v>
      </c>
      <c r="D26" s="29">
        <v>105</v>
      </c>
      <c r="E26" s="29">
        <f>B26-SUM(C$25:C25)</f>
        <v>1273</v>
      </c>
      <c r="G26" s="30">
        <v>13300</v>
      </c>
      <c r="H26" s="30">
        <v>552</v>
      </c>
      <c r="I26" s="30">
        <v>72</v>
      </c>
      <c r="N26"/>
      <c r="O26" s="32">
        <v>268</v>
      </c>
      <c r="P26" s="32">
        <v>48</v>
      </c>
      <c r="Q26"/>
      <c r="R26" s="30">
        <v>130</v>
      </c>
      <c r="S26" s="30">
        <v>7</v>
      </c>
      <c r="T26" s="73"/>
      <c r="U26" s="73">
        <v>469</v>
      </c>
      <c r="V26" s="73">
        <v>130</v>
      </c>
    </row>
    <row r="27" spans="1:23" x14ac:dyDescent="0.2">
      <c r="A27"/>
      <c r="B27" s="29">
        <v>5380</v>
      </c>
      <c r="C27" s="29">
        <v>312</v>
      </c>
      <c r="D27" s="29">
        <v>28</v>
      </c>
      <c r="E27" s="29">
        <f>B27-SUM(C$25:C26)</f>
        <v>4216</v>
      </c>
      <c r="G27" s="30">
        <v>15800</v>
      </c>
      <c r="H27" s="30">
        <v>447</v>
      </c>
      <c r="I27" s="30">
        <v>50</v>
      </c>
      <c r="N27"/>
      <c r="O27" s="32">
        <v>452</v>
      </c>
      <c r="P27" s="32">
        <v>69</v>
      </c>
      <c r="Q27"/>
      <c r="R27" s="30">
        <v>122</v>
      </c>
      <c r="S27" s="30">
        <v>5</v>
      </c>
      <c r="T27" s="73"/>
      <c r="U27" s="73">
        <v>450</v>
      </c>
      <c r="V27" s="73">
        <v>125</v>
      </c>
    </row>
    <row r="28" spans="1:23" x14ac:dyDescent="0.2">
      <c r="A28"/>
      <c r="B28" s="29">
        <v>6620</v>
      </c>
      <c r="C28" s="29">
        <v>204</v>
      </c>
      <c r="D28" s="29">
        <v>14</v>
      </c>
      <c r="E28" s="29">
        <f>B28-SUM(C$25:C27)</f>
        <v>5144</v>
      </c>
      <c r="G28" s="30">
        <v>17800</v>
      </c>
      <c r="H28" s="30">
        <v>844</v>
      </c>
      <c r="I28" s="30">
        <v>103</v>
      </c>
      <c r="N28"/>
      <c r="O28" s="32">
        <v>286</v>
      </c>
      <c r="P28" s="32">
        <v>33</v>
      </c>
      <c r="Q28" s="30" t="s">
        <v>41</v>
      </c>
      <c r="R28" s="30">
        <v>296</v>
      </c>
      <c r="S28" s="30">
        <v>77</v>
      </c>
      <c r="T28" s="73" t="s">
        <v>29</v>
      </c>
      <c r="U28" s="73">
        <v>398</v>
      </c>
      <c r="V28" s="73">
        <v>77</v>
      </c>
      <c r="W28" t="s">
        <v>132</v>
      </c>
    </row>
    <row r="29" spans="1:23" x14ac:dyDescent="0.2">
      <c r="A29"/>
      <c r="B29" s="29">
        <v>7170</v>
      </c>
      <c r="C29" s="29">
        <v>305</v>
      </c>
      <c r="D29" s="29">
        <v>38</v>
      </c>
      <c r="E29" s="29">
        <f>B29-SUM(C$25:C28)</f>
        <v>5490</v>
      </c>
      <c r="G29" s="30">
        <v>20000</v>
      </c>
      <c r="H29" s="30">
        <v>757</v>
      </c>
      <c r="I29" s="30">
        <v>53</v>
      </c>
      <c r="N29"/>
      <c r="O29" s="32">
        <v>700</v>
      </c>
      <c r="P29" s="32">
        <v>118</v>
      </c>
      <c r="Q29"/>
      <c r="R29" s="30">
        <v>257</v>
      </c>
      <c r="S29" s="30">
        <v>80</v>
      </c>
      <c r="T29" s="73"/>
      <c r="U29" s="73">
        <v>284</v>
      </c>
      <c r="V29" s="73">
        <v>92</v>
      </c>
    </row>
    <row r="30" spans="1:23" x14ac:dyDescent="0.2">
      <c r="A30"/>
      <c r="B30" s="29">
        <v>8350</v>
      </c>
      <c r="C30" s="29">
        <v>230</v>
      </c>
      <c r="D30" s="29">
        <v>18</v>
      </c>
      <c r="E30" s="29">
        <f>B30-SUM(C$25:C29)</f>
        <v>6365</v>
      </c>
      <c r="G30" s="30">
        <v>25700</v>
      </c>
      <c r="H30" s="30">
        <v>397</v>
      </c>
      <c r="I30" s="30">
        <v>27</v>
      </c>
      <c r="N30"/>
      <c r="O30" s="32">
        <v>496</v>
      </c>
      <c r="P30" s="32">
        <v>102</v>
      </c>
      <c r="Q30"/>
      <c r="R30" s="30">
        <v>236</v>
      </c>
      <c r="S30" s="30">
        <v>70</v>
      </c>
      <c r="T30" s="73"/>
      <c r="U30" s="73">
        <v>480</v>
      </c>
      <c r="V30" s="73">
        <v>126</v>
      </c>
    </row>
    <row r="31" spans="1:23" x14ac:dyDescent="0.2">
      <c r="A31"/>
      <c r="B31" s="29">
        <v>9640</v>
      </c>
      <c r="C31" s="29">
        <v>387</v>
      </c>
      <c r="D31" s="29">
        <v>24</v>
      </c>
      <c r="E31" s="29">
        <f>B31-SUM(C$25:C30)</f>
        <v>7425</v>
      </c>
      <c r="N31"/>
      <c r="O31" s="32">
        <v>304</v>
      </c>
      <c r="P31" s="32">
        <v>29</v>
      </c>
      <c r="Q31"/>
      <c r="R31" s="30">
        <v>210</v>
      </c>
      <c r="S31" s="30">
        <v>63</v>
      </c>
      <c r="T31" s="73"/>
      <c r="U31" s="73">
        <v>327</v>
      </c>
      <c r="V31" s="73">
        <v>91</v>
      </c>
    </row>
    <row r="32" spans="1:23" x14ac:dyDescent="0.2">
      <c r="A32"/>
      <c r="B32" s="29">
        <v>11700</v>
      </c>
      <c r="C32" s="29">
        <v>217</v>
      </c>
      <c r="D32" s="29">
        <v>8</v>
      </c>
      <c r="E32" s="29">
        <f>B32-SUM(C$25:C31)</f>
        <v>9098</v>
      </c>
      <c r="N32" s="32" t="s">
        <v>41</v>
      </c>
      <c r="O32" s="32">
        <v>194</v>
      </c>
      <c r="P32" s="32">
        <v>36</v>
      </c>
      <c r="Q32"/>
      <c r="R32" s="30">
        <v>201</v>
      </c>
      <c r="S32" s="30">
        <v>62</v>
      </c>
      <c r="T32" s="73"/>
      <c r="U32" s="73">
        <v>494</v>
      </c>
      <c r="V32" s="73">
        <v>168</v>
      </c>
      <c r="W32" t="s">
        <v>133</v>
      </c>
    </row>
    <row r="33" spans="1:23" x14ac:dyDescent="0.2">
      <c r="A33"/>
      <c r="B33" s="29">
        <v>13000</v>
      </c>
      <c r="C33" s="29">
        <v>116</v>
      </c>
      <c r="D33" s="29">
        <v>2</v>
      </c>
      <c r="E33" s="29">
        <f>B33-SUM(C$25:C32)</f>
        <v>10181</v>
      </c>
      <c r="O33" s="32">
        <v>209</v>
      </c>
      <c r="P33" s="32">
        <v>35</v>
      </c>
      <c r="Q33"/>
      <c r="R33" s="30">
        <v>156</v>
      </c>
      <c r="S33" s="30">
        <v>34</v>
      </c>
      <c r="T33" s="73"/>
      <c r="U33" s="73">
        <v>484</v>
      </c>
      <c r="V33" s="73">
        <v>149</v>
      </c>
    </row>
    <row r="34" spans="1:23" x14ac:dyDescent="0.2">
      <c r="A34" s="29" t="s">
        <v>86</v>
      </c>
      <c r="B34" s="29">
        <v>500</v>
      </c>
      <c r="C34" s="29">
        <v>166</v>
      </c>
      <c r="D34" s="29">
        <v>1</v>
      </c>
      <c r="E34" s="29">
        <v>500</v>
      </c>
      <c r="O34" s="32">
        <v>213</v>
      </c>
      <c r="P34" s="32">
        <v>34</v>
      </c>
      <c r="Q34"/>
      <c r="R34" s="30">
        <v>155</v>
      </c>
      <c r="S34" s="30">
        <v>40</v>
      </c>
      <c r="T34" s="73"/>
      <c r="U34" s="73">
        <v>669</v>
      </c>
      <c r="V34" s="73">
        <v>188</v>
      </c>
    </row>
    <row r="35" spans="1:23" x14ac:dyDescent="0.2">
      <c r="A35"/>
      <c r="B35" s="29">
        <v>1500</v>
      </c>
      <c r="C35" s="29">
        <v>275</v>
      </c>
      <c r="D35" s="29">
        <v>7</v>
      </c>
      <c r="E35" s="29">
        <f>B35-SUM(C$34:C34)</f>
        <v>1334</v>
      </c>
      <c r="O35" s="32">
        <v>126</v>
      </c>
      <c r="P35" s="32">
        <v>23</v>
      </c>
      <c r="Q35"/>
      <c r="R35" s="30">
        <v>128</v>
      </c>
      <c r="S35" s="30">
        <v>30</v>
      </c>
      <c r="T35" s="73"/>
      <c r="U35" s="73">
        <v>510</v>
      </c>
      <c r="V35" s="73">
        <v>151</v>
      </c>
    </row>
    <row r="36" spans="1:23" x14ac:dyDescent="0.2">
      <c r="A36"/>
      <c r="B36" s="29">
        <v>2500</v>
      </c>
      <c r="C36" s="29">
        <v>216</v>
      </c>
      <c r="D36" s="29">
        <v>10</v>
      </c>
      <c r="E36" s="29">
        <f>B36-SUM(C$34:C35)</f>
        <v>2059</v>
      </c>
      <c r="O36" s="32">
        <v>111</v>
      </c>
      <c r="P36" s="32">
        <v>14</v>
      </c>
      <c r="Q36"/>
      <c r="R36" s="30">
        <v>90</v>
      </c>
      <c r="S36" s="30">
        <v>19</v>
      </c>
      <c r="T36" s="73"/>
      <c r="U36" s="73">
        <v>501</v>
      </c>
      <c r="V36" s="73">
        <v>138</v>
      </c>
    </row>
    <row r="37" spans="1:23" x14ac:dyDescent="0.2">
      <c r="A37"/>
      <c r="B37" s="29">
        <v>3850</v>
      </c>
      <c r="C37" s="29">
        <v>536</v>
      </c>
      <c r="D37" s="29">
        <v>20</v>
      </c>
      <c r="E37" s="29">
        <f>B37-SUM(C$34:C36)</f>
        <v>3193</v>
      </c>
      <c r="O37" s="32">
        <v>241</v>
      </c>
      <c r="P37" s="32">
        <v>41</v>
      </c>
      <c r="Q37" s="30" t="s">
        <v>35</v>
      </c>
      <c r="R37" s="30">
        <v>170</v>
      </c>
      <c r="S37" s="30">
        <v>40</v>
      </c>
      <c r="T37" s="73"/>
      <c r="U37" s="73">
        <v>402</v>
      </c>
      <c r="V37" s="73">
        <v>94.4</v>
      </c>
    </row>
    <row r="38" spans="1:23" x14ac:dyDescent="0.2">
      <c r="A38"/>
      <c r="B38" s="29">
        <v>5680</v>
      </c>
      <c r="C38" s="29">
        <v>320</v>
      </c>
      <c r="D38" s="29">
        <v>9</v>
      </c>
      <c r="E38" s="29">
        <f>B38-SUM(C$34:C37)</f>
        <v>4487</v>
      </c>
      <c r="O38" s="32">
        <v>142</v>
      </c>
      <c r="P38" s="32">
        <v>15</v>
      </c>
      <c r="R38" s="30">
        <v>212</v>
      </c>
      <c r="S38" s="30">
        <v>53</v>
      </c>
      <c r="T38" s="73"/>
      <c r="U38" s="73">
        <v>395</v>
      </c>
      <c r="V38" s="73">
        <v>90</v>
      </c>
    </row>
    <row r="39" spans="1:23" x14ac:dyDescent="0.2">
      <c r="A39"/>
      <c r="B39" s="29">
        <v>6870</v>
      </c>
      <c r="C39" s="29">
        <v>373</v>
      </c>
      <c r="D39" s="29">
        <v>13</v>
      </c>
      <c r="E39" s="29">
        <f>B39-SUM(C$34:C38)</f>
        <v>5357</v>
      </c>
      <c r="R39" s="30">
        <v>107</v>
      </c>
      <c r="S39" s="30">
        <v>24</v>
      </c>
      <c r="T39" s="73"/>
      <c r="U39" s="73">
        <v>378</v>
      </c>
      <c r="V39" s="73">
        <v>86.2</v>
      </c>
    </row>
    <row r="40" spans="1:23" x14ac:dyDescent="0.2">
      <c r="A40"/>
      <c r="B40" s="29">
        <v>8100</v>
      </c>
      <c r="C40" s="29">
        <v>282</v>
      </c>
      <c r="D40" s="29">
        <v>3</v>
      </c>
      <c r="E40" s="29">
        <f>B40-SUM(C$34:C39)</f>
        <v>6214</v>
      </c>
      <c r="R40" s="30">
        <v>197</v>
      </c>
      <c r="S40" s="30">
        <v>37</v>
      </c>
      <c r="T40" s="73"/>
      <c r="U40" s="73">
        <v>528</v>
      </c>
      <c r="V40" s="73">
        <v>127</v>
      </c>
    </row>
    <row r="41" spans="1:23" x14ac:dyDescent="0.2">
      <c r="A41"/>
      <c r="B41" s="29">
        <v>9170</v>
      </c>
      <c r="C41" s="29">
        <v>320</v>
      </c>
      <c r="D41" s="29">
        <v>10</v>
      </c>
      <c r="E41" s="29">
        <f>B41-SUM(C$34:C40)</f>
        <v>7002</v>
      </c>
      <c r="R41" s="30">
        <v>146</v>
      </c>
      <c r="S41" s="30">
        <v>20</v>
      </c>
      <c r="T41" s="73"/>
      <c r="U41" s="73">
        <v>465</v>
      </c>
      <c r="V41" s="73">
        <v>86</v>
      </c>
    </row>
    <row r="42" spans="1:23" x14ac:dyDescent="0.2">
      <c r="A42"/>
      <c r="B42" s="29">
        <v>10200</v>
      </c>
      <c r="C42" s="29">
        <v>370</v>
      </c>
      <c r="D42" s="29">
        <v>2</v>
      </c>
      <c r="E42" s="29">
        <f>B42-SUM(C$34:C41)</f>
        <v>7712</v>
      </c>
      <c r="R42" s="30">
        <v>111</v>
      </c>
      <c r="S42" s="30">
        <v>18</v>
      </c>
      <c r="T42" s="73"/>
      <c r="U42" s="73">
        <v>447</v>
      </c>
      <c r="V42" s="73">
        <v>86</v>
      </c>
    </row>
    <row r="43" spans="1:23" x14ac:dyDescent="0.2">
      <c r="A43"/>
      <c r="B43" s="29">
        <v>11000</v>
      </c>
      <c r="C43" s="29">
        <v>282</v>
      </c>
      <c r="D43" s="29">
        <v>5</v>
      </c>
      <c r="E43" s="29">
        <f>B43-SUM(C$34:C42)</f>
        <v>8142</v>
      </c>
      <c r="R43" s="30">
        <v>90</v>
      </c>
      <c r="S43" s="30">
        <v>20</v>
      </c>
      <c r="T43" s="73"/>
      <c r="U43" s="73">
        <v>609</v>
      </c>
      <c r="V43" s="73">
        <v>48</v>
      </c>
    </row>
    <row r="44" spans="1:23" x14ac:dyDescent="0.2">
      <c r="A44" s="29" t="s">
        <v>35</v>
      </c>
      <c r="B44" s="29">
        <v>0</v>
      </c>
      <c r="C44" s="29">
        <v>245</v>
      </c>
      <c r="D44" s="29">
        <v>7</v>
      </c>
      <c r="E44" s="29">
        <v>0</v>
      </c>
      <c r="R44" s="30">
        <v>386</v>
      </c>
      <c r="S44" s="30">
        <v>64</v>
      </c>
      <c r="T44" s="73" t="s">
        <v>41</v>
      </c>
      <c r="U44" s="73">
        <v>430</v>
      </c>
      <c r="V44" s="73">
        <v>103</v>
      </c>
      <c r="W44" t="s">
        <v>135</v>
      </c>
    </row>
    <row r="45" spans="1:23" x14ac:dyDescent="0.2">
      <c r="B45" s="29">
        <v>1000</v>
      </c>
      <c r="C45" s="29">
        <v>100</v>
      </c>
      <c r="D45" s="29">
        <v>19</v>
      </c>
      <c r="E45" s="29">
        <f>B45-SUM(C$44:C44)</f>
        <v>755</v>
      </c>
      <c r="R45" s="30">
        <v>390</v>
      </c>
      <c r="S45" s="30">
        <v>41</v>
      </c>
      <c r="T45" s="73"/>
      <c r="U45" s="73">
        <v>409</v>
      </c>
      <c r="V45" s="73">
        <v>110</v>
      </c>
    </row>
    <row r="46" spans="1:23" x14ac:dyDescent="0.2">
      <c r="B46" s="29">
        <v>2980</v>
      </c>
      <c r="C46" s="29">
        <v>200</v>
      </c>
      <c r="D46" s="29">
        <v>5</v>
      </c>
      <c r="E46" s="29">
        <f>B46-SUM(C$44:C45)</f>
        <v>2635</v>
      </c>
      <c r="T46" s="73"/>
      <c r="U46" s="73">
        <v>728</v>
      </c>
      <c r="V46" s="73">
        <v>190</v>
      </c>
    </row>
    <row r="47" spans="1:23" x14ac:dyDescent="0.2">
      <c r="B47" s="29">
        <v>4600</v>
      </c>
      <c r="C47" s="29">
        <v>361</v>
      </c>
      <c r="D47" s="29">
        <v>30</v>
      </c>
      <c r="E47" s="29">
        <f>B47-SUM(C$44:C46)</f>
        <v>4055</v>
      </c>
      <c r="T47" s="73"/>
      <c r="U47" s="73">
        <v>788</v>
      </c>
      <c r="V47" s="73">
        <v>220</v>
      </c>
      <c r="W47" t="s">
        <v>134</v>
      </c>
    </row>
    <row r="48" spans="1:23" x14ac:dyDescent="0.2">
      <c r="B48" s="29">
        <v>6310</v>
      </c>
      <c r="C48" s="29">
        <v>393</v>
      </c>
      <c r="D48" s="29">
        <v>60</v>
      </c>
      <c r="E48" s="29">
        <f>B48-SUM(C$44:C47)</f>
        <v>5404</v>
      </c>
      <c r="T48" s="73"/>
      <c r="U48" s="73">
        <v>706</v>
      </c>
      <c r="V48" s="73">
        <v>153</v>
      </c>
    </row>
    <row r="49" spans="2:22" x14ac:dyDescent="0.2">
      <c r="B49" s="29">
        <v>7500</v>
      </c>
      <c r="C49" s="29">
        <v>245</v>
      </c>
      <c r="D49" s="29">
        <v>21</v>
      </c>
      <c r="E49" s="29">
        <f>B49-SUM(C$44:C48)</f>
        <v>6201</v>
      </c>
      <c r="T49" s="73"/>
      <c r="U49" s="73">
        <v>515</v>
      </c>
      <c r="V49" s="73">
        <v>118</v>
      </c>
    </row>
    <row r="50" spans="2:22" x14ac:dyDescent="0.2">
      <c r="B50" s="29">
        <v>8730</v>
      </c>
      <c r="C50" s="29">
        <v>323</v>
      </c>
      <c r="D50" s="29">
        <v>30</v>
      </c>
      <c r="E50" s="29">
        <f>B50-SUM(C$44:C49)</f>
        <v>7186</v>
      </c>
      <c r="T50" s="73"/>
      <c r="U50" s="73">
        <v>433</v>
      </c>
      <c r="V50" s="73">
        <v>92</v>
      </c>
    </row>
    <row r="51" spans="2:22" x14ac:dyDescent="0.2">
      <c r="B51" s="29">
        <v>10300</v>
      </c>
      <c r="C51" s="29">
        <v>290</v>
      </c>
      <c r="D51" s="29">
        <v>13</v>
      </c>
      <c r="E51" s="29">
        <f>B51-SUM(C$44:C50)</f>
        <v>8433</v>
      </c>
      <c r="T51" s="73"/>
      <c r="U51" s="73">
        <v>538</v>
      </c>
      <c r="V51" s="73">
        <v>92</v>
      </c>
    </row>
    <row r="52" spans="2:22" x14ac:dyDescent="0.2">
      <c r="B52" s="29">
        <v>11330</v>
      </c>
      <c r="C52" s="29">
        <v>161</v>
      </c>
      <c r="D52" s="29">
        <v>5</v>
      </c>
      <c r="E52" s="29">
        <f>B52-SUM(C$44:C51)</f>
        <v>9173</v>
      </c>
      <c r="T52" s="73"/>
      <c r="U52" s="73"/>
      <c r="V52" s="73"/>
    </row>
    <row r="53" spans="2:22" x14ac:dyDescent="0.2">
      <c r="B53" s="29">
        <v>12200</v>
      </c>
      <c r="C53" s="29">
        <v>182</v>
      </c>
      <c r="D53" s="29">
        <v>2</v>
      </c>
      <c r="E53" s="29">
        <f>B53-SUM(C$44:C52)</f>
        <v>9882</v>
      </c>
      <c r="T53" s="73"/>
      <c r="U53" s="73"/>
      <c r="V53" s="73"/>
    </row>
    <row r="54" spans="2:22" x14ac:dyDescent="0.2">
      <c r="T54" s="73"/>
      <c r="U54" s="73"/>
      <c r="V54" s="73"/>
    </row>
    <row r="55" spans="2:22" x14ac:dyDescent="0.2">
      <c r="T55" s="73"/>
      <c r="U55" s="73"/>
      <c r="V55" s="73"/>
    </row>
    <row r="56" spans="2:22" x14ac:dyDescent="0.2">
      <c r="T56" s="73"/>
      <c r="U56" s="73"/>
      <c r="V56" s="73"/>
    </row>
    <row r="57" spans="2:22" x14ac:dyDescent="0.2">
      <c r="T57" s="73"/>
      <c r="U57" s="73"/>
      <c r="V57" s="73"/>
    </row>
    <row r="58" spans="2:22" x14ac:dyDescent="0.2">
      <c r="T58" s="73"/>
      <c r="U58" s="73"/>
      <c r="V58" s="73"/>
    </row>
    <row r="59" spans="2:22" x14ac:dyDescent="0.2">
      <c r="T59" s="73"/>
      <c r="U59" s="73"/>
      <c r="V59" s="73"/>
    </row>
    <row r="60" spans="2:22" x14ac:dyDescent="0.2">
      <c r="T60" s="73"/>
      <c r="U60" s="73"/>
      <c r="V60" s="73"/>
    </row>
    <row r="61" spans="2:22" x14ac:dyDescent="0.2">
      <c r="T61" s="73"/>
      <c r="U61" s="73"/>
      <c r="V61" s="73"/>
    </row>
    <row r="62" spans="2:22" x14ac:dyDescent="0.2">
      <c r="T62" s="73"/>
      <c r="U62" s="73"/>
      <c r="V62" s="73"/>
    </row>
    <row r="63" spans="2:22" x14ac:dyDescent="0.2">
      <c r="T63" s="73"/>
      <c r="U63" s="73"/>
      <c r="V63" s="73"/>
    </row>
    <row r="64" spans="2:22" x14ac:dyDescent="0.2">
      <c r="T64" s="73"/>
      <c r="U64" s="73"/>
      <c r="V64" s="73"/>
    </row>
    <row r="65" spans="20:22" x14ac:dyDescent="0.2">
      <c r="T65" s="73"/>
      <c r="U65" s="73"/>
      <c r="V65" s="73"/>
    </row>
    <row r="66" spans="20:22" x14ac:dyDescent="0.2">
      <c r="T66" s="73"/>
      <c r="U66" s="73"/>
      <c r="V66" s="73"/>
    </row>
    <row r="67" spans="20:22" x14ac:dyDescent="0.2">
      <c r="T67" s="73"/>
      <c r="U67" s="73"/>
      <c r="V67" s="73"/>
    </row>
    <row r="68" spans="20:22" x14ac:dyDescent="0.2">
      <c r="T68" s="73"/>
      <c r="U68" s="73"/>
      <c r="V68" s="73"/>
    </row>
    <row r="69" spans="20:22" x14ac:dyDescent="0.2">
      <c r="T69" s="73"/>
      <c r="U69" s="73"/>
      <c r="V69" s="73"/>
    </row>
    <row r="70" spans="20:22" x14ac:dyDescent="0.2">
      <c r="T70" s="73"/>
      <c r="U70" s="73"/>
      <c r="V70" s="73"/>
    </row>
    <row r="71" spans="20:22" x14ac:dyDescent="0.2">
      <c r="T71" s="73"/>
      <c r="U71" s="73"/>
      <c r="V71" s="73"/>
    </row>
    <row r="72" spans="20:22" x14ac:dyDescent="0.2">
      <c r="T72" s="73"/>
      <c r="U72" s="73"/>
      <c r="V72" s="73"/>
    </row>
    <row r="73" spans="20:22" x14ac:dyDescent="0.2">
      <c r="T73" s="73"/>
      <c r="U73" s="73"/>
      <c r="V73" s="73"/>
    </row>
    <row r="74" spans="20:22" x14ac:dyDescent="0.2">
      <c r="T74" s="73"/>
      <c r="U74" s="73"/>
      <c r="V74" s="73"/>
    </row>
    <row r="75" spans="20:22" x14ac:dyDescent="0.2">
      <c r="T75" s="73"/>
      <c r="U75" s="73"/>
      <c r="V75" s="73"/>
    </row>
    <row r="76" spans="20:22" x14ac:dyDescent="0.2">
      <c r="T76" s="73"/>
      <c r="U76" s="73"/>
      <c r="V76" s="73"/>
    </row>
    <row r="77" spans="20:22" x14ac:dyDescent="0.2">
      <c r="T77" s="73"/>
      <c r="U77" s="73"/>
      <c r="V77" s="73"/>
    </row>
    <row r="78" spans="20:22" x14ac:dyDescent="0.2">
      <c r="T78" s="73"/>
      <c r="U78" s="73"/>
      <c r="V78" s="73"/>
    </row>
    <row r="79" spans="20:22" x14ac:dyDescent="0.2">
      <c r="T79" s="73"/>
      <c r="U79" s="73"/>
      <c r="V79" s="73"/>
    </row>
    <row r="80" spans="20:22" x14ac:dyDescent="0.2">
      <c r="T80" s="73"/>
      <c r="U80" s="73"/>
      <c r="V80" s="7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Views>
    <sheetView workbookViewId="0">
      <selection activeCell="Q14" sqref="Q14"/>
    </sheetView>
  </sheetViews>
  <sheetFormatPr baseColWidth="10" defaultColWidth="8.83203125" defaultRowHeight="16" x14ac:dyDescent="0.2"/>
  <sheetData>
    <row r="1" spans="1:25" x14ac:dyDescent="0.2">
      <c r="A1" t="s">
        <v>87</v>
      </c>
      <c r="B1" s="29">
        <v>56.4</v>
      </c>
      <c r="C1" s="29">
        <v>2</v>
      </c>
      <c r="D1" s="29">
        <f>B1/C1</f>
        <v>28.2</v>
      </c>
      <c r="E1" t="s">
        <v>88</v>
      </c>
      <c r="F1">
        <f>(H49-I49)/(L1)</f>
        <v>89.375</v>
      </c>
      <c r="H1">
        <f>(H48-I48)/(L1)</f>
        <v>10.5625</v>
      </c>
      <c r="K1">
        <v>233</v>
      </c>
      <c r="L1">
        <f>_xlfn.CEILING.MATH(SQRT(K1))</f>
        <v>16</v>
      </c>
      <c r="O1" t="s">
        <v>113</v>
      </c>
      <c r="P1" t="s">
        <v>114</v>
      </c>
      <c r="Q1" t="s">
        <v>115</v>
      </c>
      <c r="R1" t="s">
        <v>125</v>
      </c>
    </row>
    <row r="2" spans="1:25" x14ac:dyDescent="0.2">
      <c r="B2" s="29">
        <v>40</v>
      </c>
      <c r="C2" s="29">
        <v>1</v>
      </c>
      <c r="D2" s="29">
        <f t="shared" ref="D2:D65" si="0">B2/C2</f>
        <v>40</v>
      </c>
      <c r="E2" t="s">
        <v>74</v>
      </c>
      <c r="G2" t="s">
        <v>112</v>
      </c>
      <c r="H2" t="s">
        <v>75</v>
      </c>
      <c r="J2" t="s">
        <v>112</v>
      </c>
      <c r="K2" t="s">
        <v>103</v>
      </c>
      <c r="M2" t="s">
        <v>112</v>
      </c>
      <c r="O2">
        <v>3</v>
      </c>
      <c r="R2" t="s">
        <v>113</v>
      </c>
      <c r="S2" t="s">
        <v>114</v>
      </c>
      <c r="T2" t="s">
        <v>115</v>
      </c>
      <c r="V2" t="s">
        <v>126</v>
      </c>
    </row>
    <row r="3" spans="1:25" x14ac:dyDescent="0.2">
      <c r="B3" s="29">
        <v>176</v>
      </c>
      <c r="C3" s="29">
        <v>14</v>
      </c>
      <c r="D3" s="29">
        <f t="shared" si="0"/>
        <v>12.571428571428571</v>
      </c>
      <c r="E3">
        <v>0</v>
      </c>
      <c r="F3">
        <f t="array" ref="F3:F15">FREQUENCY(B1:B234,E3:E15)</f>
        <v>0</v>
      </c>
      <c r="G3">
        <f>F3/$K$1*100</f>
        <v>0</v>
      </c>
      <c r="H3">
        <v>0</v>
      </c>
      <c r="I3">
        <f t="array" ref="I3:I15">FREQUENCY(C1:C234,H3:H15)</f>
        <v>0</v>
      </c>
      <c r="J3">
        <f>I3/$K$1*100</f>
        <v>0</v>
      </c>
      <c r="K3">
        <v>0</v>
      </c>
      <c r="L3">
        <f t="array" ref="L3:L15">FREQUENCY(D1:D234,K3:K15)</f>
        <v>0</v>
      </c>
      <c r="M3">
        <f>L3/$K$1*100</f>
        <v>0</v>
      </c>
      <c r="O3" s="35">
        <f t="shared" ref="O3:O16" si="1">G3*O$2/100</f>
        <v>0</v>
      </c>
      <c r="P3" s="35">
        <f t="shared" ref="P3:P16" si="2">J3*O$2/100</f>
        <v>0</v>
      </c>
      <c r="Q3" s="36">
        <f t="shared" ref="Q3:Q16" si="3">M3*O$2/100</f>
        <v>0</v>
      </c>
      <c r="T3" s="38" t="s">
        <v>122</v>
      </c>
    </row>
    <row r="4" spans="1:25" x14ac:dyDescent="0.2">
      <c r="B4" s="29">
        <v>107</v>
      </c>
      <c r="C4" s="29">
        <v>2</v>
      </c>
      <c r="D4" s="29">
        <f t="shared" si="0"/>
        <v>53.5</v>
      </c>
      <c r="E4">
        <v>100</v>
      </c>
      <c r="F4">
        <v>17</v>
      </c>
      <c r="G4">
        <f t="shared" ref="G4:G15" si="4">F4/$K$1*100</f>
        <v>7.296137339055794</v>
      </c>
      <c r="H4">
        <v>15</v>
      </c>
      <c r="I4">
        <v>58</v>
      </c>
      <c r="J4">
        <f t="shared" ref="J4:J15" si="5">I4/$K$1*100</f>
        <v>24.892703862660944</v>
      </c>
      <c r="K4">
        <v>2</v>
      </c>
      <c r="L4">
        <v>0</v>
      </c>
      <c r="M4">
        <f t="shared" ref="M4:M15" si="6">L4/$K$1*100</f>
        <v>0</v>
      </c>
      <c r="O4" s="37">
        <f t="shared" si="1"/>
        <v>0.21888412017167383</v>
      </c>
      <c r="P4" s="36">
        <f t="shared" si="2"/>
        <v>0.74678111587982843</v>
      </c>
      <c r="Q4" s="36">
        <f t="shared" si="3"/>
        <v>0</v>
      </c>
      <c r="S4" s="40" t="s">
        <v>119</v>
      </c>
      <c r="T4" s="41" t="s">
        <v>123</v>
      </c>
      <c r="V4" t="s">
        <v>115</v>
      </c>
      <c r="W4">
        <v>5</v>
      </c>
      <c r="X4">
        <v>7</v>
      </c>
      <c r="Y4">
        <v>10</v>
      </c>
    </row>
    <row r="5" spans="1:25" x14ac:dyDescent="0.2">
      <c r="B5" s="29">
        <v>363</v>
      </c>
      <c r="C5" s="29">
        <f>1012-991</f>
        <v>21</v>
      </c>
      <c r="D5" s="29">
        <f t="shared" si="0"/>
        <v>17.285714285714285</v>
      </c>
      <c r="E5">
        <f t="shared" ref="E5:E16" si="7">E4+100</f>
        <v>200</v>
      </c>
      <c r="F5">
        <v>57</v>
      </c>
      <c r="G5">
        <f t="shared" si="4"/>
        <v>24.463519313304722</v>
      </c>
      <c r="H5">
        <f>H4+15</f>
        <v>30</v>
      </c>
      <c r="I5">
        <v>61</v>
      </c>
      <c r="J5">
        <f t="shared" si="5"/>
        <v>26.180257510729614</v>
      </c>
      <c r="K5">
        <v>4</v>
      </c>
      <c r="L5">
        <v>11</v>
      </c>
      <c r="M5">
        <f t="shared" si="6"/>
        <v>4.7210300429184553</v>
      </c>
      <c r="O5" s="36">
        <f t="shared" si="1"/>
        <v>0.73390557939914169</v>
      </c>
      <c r="P5" s="36">
        <f t="shared" si="2"/>
        <v>0.78540772532188841</v>
      </c>
      <c r="Q5" s="36">
        <f t="shared" si="3"/>
        <v>0.14163090128755365</v>
      </c>
      <c r="R5" s="38" t="s">
        <v>116</v>
      </c>
      <c r="S5" s="39" t="s">
        <v>120</v>
      </c>
      <c r="T5" s="39" t="s">
        <v>124</v>
      </c>
      <c r="V5" t="s">
        <v>113</v>
      </c>
      <c r="W5">
        <v>150</v>
      </c>
      <c r="X5">
        <v>300</v>
      </c>
      <c r="Y5">
        <v>400</v>
      </c>
    </row>
    <row r="6" spans="1:25" x14ac:dyDescent="0.2">
      <c r="B6" s="29">
        <v>212</v>
      </c>
      <c r="C6" s="29">
        <f>842-832</f>
        <v>10</v>
      </c>
      <c r="D6" s="29">
        <f t="shared" si="0"/>
        <v>21.2</v>
      </c>
      <c r="E6">
        <f t="shared" si="7"/>
        <v>300</v>
      </c>
      <c r="F6">
        <v>62</v>
      </c>
      <c r="G6">
        <f t="shared" si="4"/>
        <v>26.609442060085836</v>
      </c>
      <c r="H6">
        <f t="shared" ref="H6:H15" si="8">H5+15</f>
        <v>45</v>
      </c>
      <c r="I6">
        <v>30</v>
      </c>
      <c r="J6">
        <f t="shared" si="5"/>
        <v>12.875536480686694</v>
      </c>
      <c r="K6">
        <v>6</v>
      </c>
      <c r="L6">
        <v>40</v>
      </c>
      <c r="M6">
        <f t="shared" si="6"/>
        <v>17.167381974248926</v>
      </c>
      <c r="O6" s="36">
        <f t="shared" si="1"/>
        <v>0.79828326180257503</v>
      </c>
      <c r="P6" s="36">
        <f t="shared" si="2"/>
        <v>0.38626609442060089</v>
      </c>
      <c r="Q6" s="37">
        <f t="shared" si="3"/>
        <v>0.51502145922746778</v>
      </c>
      <c r="R6" s="40" t="s">
        <v>117</v>
      </c>
      <c r="S6" s="38" t="s">
        <v>121</v>
      </c>
      <c r="V6" t="s">
        <v>114</v>
      </c>
      <c r="W6">
        <f>W5/W4</f>
        <v>30</v>
      </c>
      <c r="X6">
        <f t="shared" ref="X6:Y6" si="9">X5/X4</f>
        <v>42.857142857142854</v>
      </c>
      <c r="Y6">
        <f t="shared" si="9"/>
        <v>40</v>
      </c>
    </row>
    <row r="7" spans="1:25" x14ac:dyDescent="0.2">
      <c r="B7" s="29">
        <v>381</v>
      </c>
      <c r="C7" s="29">
        <v>10</v>
      </c>
      <c r="D7" s="29">
        <f t="shared" si="0"/>
        <v>38.1</v>
      </c>
      <c r="E7">
        <f t="shared" si="7"/>
        <v>400</v>
      </c>
      <c r="F7">
        <v>40</v>
      </c>
      <c r="G7">
        <f t="shared" si="4"/>
        <v>17.167381974248926</v>
      </c>
      <c r="H7">
        <f t="shared" si="8"/>
        <v>60</v>
      </c>
      <c r="I7">
        <v>19</v>
      </c>
      <c r="J7">
        <f t="shared" si="5"/>
        <v>8.1545064377682408</v>
      </c>
      <c r="K7">
        <v>8</v>
      </c>
      <c r="L7">
        <v>23</v>
      </c>
      <c r="M7">
        <f t="shared" si="6"/>
        <v>9.8712446351931327</v>
      </c>
      <c r="O7" s="36">
        <f t="shared" si="1"/>
        <v>0.51502145922746778</v>
      </c>
      <c r="P7" s="37">
        <f t="shared" si="2"/>
        <v>0.24463519313304721</v>
      </c>
      <c r="Q7" s="35">
        <f t="shared" si="3"/>
        <v>0.29613733905579398</v>
      </c>
      <c r="R7" s="39" t="s">
        <v>118</v>
      </c>
    </row>
    <row r="8" spans="1:25" x14ac:dyDescent="0.2">
      <c r="B8" s="29">
        <v>255</v>
      </c>
      <c r="C8" s="29">
        <v>10</v>
      </c>
      <c r="D8" s="29">
        <f t="shared" si="0"/>
        <v>25.5</v>
      </c>
      <c r="E8">
        <f t="shared" si="7"/>
        <v>500</v>
      </c>
      <c r="F8">
        <v>27</v>
      </c>
      <c r="G8">
        <f t="shared" si="4"/>
        <v>11.587982832618025</v>
      </c>
      <c r="H8">
        <f t="shared" si="8"/>
        <v>75</v>
      </c>
      <c r="I8">
        <v>17</v>
      </c>
      <c r="J8">
        <f t="shared" si="5"/>
        <v>7.296137339055794</v>
      </c>
      <c r="K8">
        <v>10</v>
      </c>
      <c r="L8">
        <v>24</v>
      </c>
      <c r="M8">
        <f t="shared" si="6"/>
        <v>10.300429184549357</v>
      </c>
      <c r="O8" s="37">
        <f t="shared" si="1"/>
        <v>0.34763948497854075</v>
      </c>
      <c r="P8" s="37">
        <f t="shared" si="2"/>
        <v>0.21888412017167383</v>
      </c>
      <c r="Q8" s="35">
        <f t="shared" si="3"/>
        <v>0.30901287553648066</v>
      </c>
    </row>
    <row r="9" spans="1:25" x14ac:dyDescent="0.2">
      <c r="B9" s="29">
        <v>568</v>
      </c>
      <c r="C9" s="29">
        <v>113</v>
      </c>
      <c r="D9" s="29">
        <f t="shared" si="0"/>
        <v>5.0265486725663715</v>
      </c>
      <c r="E9">
        <f t="shared" si="7"/>
        <v>600</v>
      </c>
      <c r="F9">
        <v>15</v>
      </c>
      <c r="G9">
        <f t="shared" si="4"/>
        <v>6.4377682403433472</v>
      </c>
      <c r="H9">
        <f t="shared" si="8"/>
        <v>90</v>
      </c>
      <c r="I9">
        <v>12</v>
      </c>
      <c r="J9">
        <f t="shared" si="5"/>
        <v>5.1502145922746783</v>
      </c>
      <c r="K9">
        <v>12</v>
      </c>
      <c r="L9">
        <v>12</v>
      </c>
      <c r="M9">
        <f t="shared" si="6"/>
        <v>5.1502145922746783</v>
      </c>
      <c r="O9" s="35">
        <f t="shared" si="1"/>
        <v>0.19313304721030045</v>
      </c>
      <c r="P9" s="35">
        <f t="shared" si="2"/>
        <v>0.15450643776824033</v>
      </c>
      <c r="Q9" s="35">
        <f t="shared" si="3"/>
        <v>0.15450643776824033</v>
      </c>
    </row>
    <row r="10" spans="1:25" x14ac:dyDescent="0.2">
      <c r="B10" s="29">
        <v>267</v>
      </c>
      <c r="C10" s="29">
        <v>38</v>
      </c>
      <c r="D10" s="29">
        <f t="shared" si="0"/>
        <v>7.0263157894736841</v>
      </c>
      <c r="E10">
        <f t="shared" si="7"/>
        <v>700</v>
      </c>
      <c r="F10">
        <v>6</v>
      </c>
      <c r="G10">
        <f t="shared" si="4"/>
        <v>2.5751072961373391</v>
      </c>
      <c r="H10">
        <f t="shared" si="8"/>
        <v>105</v>
      </c>
      <c r="I10">
        <v>13</v>
      </c>
      <c r="J10">
        <f t="shared" si="5"/>
        <v>5.5793991416309012</v>
      </c>
      <c r="K10">
        <v>14</v>
      </c>
      <c r="L10">
        <v>11</v>
      </c>
      <c r="M10">
        <f t="shared" si="6"/>
        <v>4.7210300429184553</v>
      </c>
      <c r="O10" s="35">
        <f t="shared" si="1"/>
        <v>7.7253218884120164E-2</v>
      </c>
      <c r="P10" s="35">
        <f t="shared" si="2"/>
        <v>0.16738197424892703</v>
      </c>
      <c r="Q10" s="35">
        <f t="shared" si="3"/>
        <v>0.14163090128755365</v>
      </c>
    </row>
    <row r="11" spans="1:25" x14ac:dyDescent="0.2">
      <c r="B11" s="29">
        <v>355</v>
      </c>
      <c r="C11" s="29">
        <v>14</v>
      </c>
      <c r="D11" s="29">
        <f t="shared" si="0"/>
        <v>25.357142857142858</v>
      </c>
      <c r="E11">
        <f t="shared" si="7"/>
        <v>800</v>
      </c>
      <c r="F11">
        <v>5</v>
      </c>
      <c r="G11">
        <f t="shared" si="4"/>
        <v>2.1459227467811157</v>
      </c>
      <c r="H11">
        <f t="shared" si="8"/>
        <v>120</v>
      </c>
      <c r="I11">
        <v>8</v>
      </c>
      <c r="J11">
        <f t="shared" si="5"/>
        <v>3.4334763948497855</v>
      </c>
      <c r="K11">
        <v>16</v>
      </c>
      <c r="L11">
        <v>9</v>
      </c>
      <c r="M11">
        <f t="shared" si="6"/>
        <v>3.8626609442060089</v>
      </c>
      <c r="O11" s="35">
        <f t="shared" si="1"/>
        <v>6.4377682403433473E-2</v>
      </c>
      <c r="P11" s="35">
        <f t="shared" si="2"/>
        <v>0.10300429184549356</v>
      </c>
      <c r="Q11" s="35">
        <f t="shared" si="3"/>
        <v>0.11587982832618027</v>
      </c>
    </row>
    <row r="12" spans="1:25" x14ac:dyDescent="0.2">
      <c r="B12" s="29">
        <v>330</v>
      </c>
      <c r="C12" s="29">
        <v>43</v>
      </c>
      <c r="D12" s="29">
        <f t="shared" si="0"/>
        <v>7.6744186046511631</v>
      </c>
      <c r="E12">
        <f t="shared" si="7"/>
        <v>900</v>
      </c>
      <c r="F12">
        <v>2</v>
      </c>
      <c r="G12">
        <f t="shared" si="4"/>
        <v>0.85836909871244638</v>
      </c>
      <c r="H12">
        <f t="shared" si="8"/>
        <v>135</v>
      </c>
      <c r="I12">
        <v>5</v>
      </c>
      <c r="J12">
        <f t="shared" si="5"/>
        <v>2.1459227467811157</v>
      </c>
      <c r="K12">
        <v>18</v>
      </c>
      <c r="L12">
        <v>6</v>
      </c>
      <c r="M12">
        <f t="shared" si="6"/>
        <v>2.5751072961373391</v>
      </c>
      <c r="O12" s="35">
        <f t="shared" si="1"/>
        <v>2.575107296137339E-2</v>
      </c>
      <c r="P12" s="35">
        <f t="shared" si="2"/>
        <v>6.4377682403433473E-2</v>
      </c>
      <c r="Q12" s="35">
        <f t="shared" si="3"/>
        <v>7.7253218884120164E-2</v>
      </c>
    </row>
    <row r="13" spans="1:25" x14ac:dyDescent="0.2">
      <c r="B13" s="29">
        <v>292</v>
      </c>
      <c r="C13" s="29">
        <v>23</v>
      </c>
      <c r="D13" s="29">
        <f t="shared" si="0"/>
        <v>12.695652173913043</v>
      </c>
      <c r="E13">
        <f t="shared" si="7"/>
        <v>1000</v>
      </c>
      <c r="F13">
        <v>0</v>
      </c>
      <c r="G13">
        <f t="shared" si="4"/>
        <v>0</v>
      </c>
      <c r="H13">
        <f t="shared" si="8"/>
        <v>150</v>
      </c>
      <c r="I13">
        <v>4</v>
      </c>
      <c r="J13">
        <f t="shared" si="5"/>
        <v>1.7167381974248928</v>
      </c>
      <c r="K13">
        <v>20</v>
      </c>
      <c r="L13">
        <v>3</v>
      </c>
      <c r="M13">
        <f t="shared" si="6"/>
        <v>1.2875536480686696</v>
      </c>
      <c r="O13" s="35">
        <f t="shared" si="1"/>
        <v>0</v>
      </c>
      <c r="P13" s="35">
        <f t="shared" si="2"/>
        <v>5.1502145922746781E-2</v>
      </c>
      <c r="Q13" s="35">
        <f t="shared" si="3"/>
        <v>3.8626609442060082E-2</v>
      </c>
    </row>
    <row r="14" spans="1:25" x14ac:dyDescent="0.2">
      <c r="B14" s="29">
        <v>348</v>
      </c>
      <c r="C14" s="29">
        <v>27</v>
      </c>
      <c r="D14" s="29">
        <f t="shared" si="0"/>
        <v>12.888888888888889</v>
      </c>
      <c r="E14">
        <f t="shared" si="7"/>
        <v>1100</v>
      </c>
      <c r="F14">
        <v>0</v>
      </c>
      <c r="G14">
        <f t="shared" si="4"/>
        <v>0</v>
      </c>
      <c r="H14">
        <f t="shared" si="8"/>
        <v>165</v>
      </c>
      <c r="I14">
        <v>2</v>
      </c>
      <c r="J14">
        <f t="shared" si="5"/>
        <v>0.85836909871244638</v>
      </c>
      <c r="K14">
        <v>22</v>
      </c>
      <c r="L14">
        <v>5</v>
      </c>
      <c r="M14">
        <f t="shared" si="6"/>
        <v>2.1459227467811157</v>
      </c>
      <c r="O14" s="35">
        <f t="shared" si="1"/>
        <v>0</v>
      </c>
      <c r="P14" s="35">
        <f t="shared" si="2"/>
        <v>2.575107296137339E-2</v>
      </c>
      <c r="Q14" s="35">
        <f t="shared" si="3"/>
        <v>6.4377682403433473E-2</v>
      </c>
    </row>
    <row r="15" spans="1:25" x14ac:dyDescent="0.2">
      <c r="B15" s="29">
        <v>290</v>
      </c>
      <c r="C15" s="29">
        <v>21</v>
      </c>
      <c r="D15" s="29">
        <f t="shared" si="0"/>
        <v>13.80952380952381</v>
      </c>
      <c r="E15">
        <f t="shared" si="7"/>
        <v>1200</v>
      </c>
      <c r="F15">
        <v>1</v>
      </c>
      <c r="G15">
        <f t="shared" si="4"/>
        <v>0.42918454935622319</v>
      </c>
      <c r="H15">
        <f t="shared" si="8"/>
        <v>180</v>
      </c>
      <c r="I15">
        <v>2</v>
      </c>
      <c r="J15">
        <f t="shared" si="5"/>
        <v>0.85836909871244638</v>
      </c>
      <c r="K15">
        <v>24</v>
      </c>
      <c r="L15">
        <v>3</v>
      </c>
      <c r="M15">
        <f t="shared" si="6"/>
        <v>1.2875536480686696</v>
      </c>
      <c r="O15" s="35">
        <f t="shared" si="1"/>
        <v>1.2875536480686695E-2</v>
      </c>
      <c r="P15" s="35">
        <f t="shared" si="2"/>
        <v>2.575107296137339E-2</v>
      </c>
      <c r="Q15" s="35">
        <f t="shared" si="3"/>
        <v>3.8626609442060082E-2</v>
      </c>
    </row>
    <row r="16" spans="1:25" x14ac:dyDescent="0.2">
      <c r="B16" s="29">
        <v>125</v>
      </c>
      <c r="C16" s="29">
        <v>4</v>
      </c>
      <c r="D16" s="29">
        <f t="shared" si="0"/>
        <v>31.25</v>
      </c>
      <c r="E16">
        <f t="shared" si="7"/>
        <v>1300</v>
      </c>
      <c r="O16" s="35">
        <f t="shared" si="1"/>
        <v>0</v>
      </c>
      <c r="P16" s="35">
        <f t="shared" si="2"/>
        <v>0</v>
      </c>
      <c r="Q16" s="35">
        <f t="shared" si="3"/>
        <v>0</v>
      </c>
    </row>
    <row r="17" spans="2:4" x14ac:dyDescent="0.2">
      <c r="B17" s="29">
        <v>149</v>
      </c>
      <c r="C17" s="29">
        <v>4</v>
      </c>
      <c r="D17" s="29">
        <f t="shared" si="0"/>
        <v>37.25</v>
      </c>
    </row>
    <row r="18" spans="2:4" x14ac:dyDescent="0.2">
      <c r="B18" s="29">
        <v>166</v>
      </c>
      <c r="C18" s="29">
        <v>2</v>
      </c>
      <c r="D18" s="29">
        <f t="shared" si="0"/>
        <v>83</v>
      </c>
    </row>
    <row r="19" spans="2:4" x14ac:dyDescent="0.2">
      <c r="B19" s="29">
        <v>146</v>
      </c>
      <c r="C19" s="29">
        <v>5</v>
      </c>
      <c r="D19" s="29">
        <f t="shared" si="0"/>
        <v>29.2</v>
      </c>
    </row>
    <row r="20" spans="2:4" x14ac:dyDescent="0.2">
      <c r="B20" s="29">
        <v>291</v>
      </c>
      <c r="C20" s="29">
        <v>27</v>
      </c>
      <c r="D20" s="29">
        <f t="shared" si="0"/>
        <v>10.777777777777779</v>
      </c>
    </row>
    <row r="21" spans="2:4" x14ac:dyDescent="0.2">
      <c r="B21" s="29">
        <v>277</v>
      </c>
      <c r="C21" s="29">
        <v>29</v>
      </c>
      <c r="D21" s="29">
        <f t="shared" si="0"/>
        <v>9.5517241379310338</v>
      </c>
    </row>
    <row r="22" spans="2:4" x14ac:dyDescent="0.2">
      <c r="B22" s="29">
        <v>247</v>
      </c>
      <c r="C22" s="29">
        <v>16</v>
      </c>
      <c r="D22" s="29">
        <f t="shared" si="0"/>
        <v>15.4375</v>
      </c>
    </row>
    <row r="23" spans="2:4" x14ac:dyDescent="0.2">
      <c r="B23" s="29">
        <v>213</v>
      </c>
      <c r="C23" s="29">
        <v>9</v>
      </c>
      <c r="D23" s="29">
        <f t="shared" si="0"/>
        <v>23.666666666666668</v>
      </c>
    </row>
    <row r="24" spans="2:4" x14ac:dyDescent="0.2">
      <c r="B24" s="29">
        <v>557</v>
      </c>
      <c r="C24" s="29">
        <v>93.5</v>
      </c>
      <c r="D24" s="29">
        <f t="shared" si="0"/>
        <v>5.9572192513368982</v>
      </c>
    </row>
    <row r="25" spans="2:4" x14ac:dyDescent="0.2">
      <c r="B25" s="29">
        <v>607</v>
      </c>
      <c r="C25" s="29">
        <v>105</v>
      </c>
      <c r="D25" s="29">
        <f t="shared" si="0"/>
        <v>5.7809523809523808</v>
      </c>
    </row>
    <row r="26" spans="2:4" x14ac:dyDescent="0.2">
      <c r="B26" s="29">
        <v>312</v>
      </c>
      <c r="C26" s="29">
        <v>28</v>
      </c>
      <c r="D26" s="29">
        <f t="shared" si="0"/>
        <v>11.142857142857142</v>
      </c>
    </row>
    <row r="27" spans="2:4" x14ac:dyDescent="0.2">
      <c r="B27" s="29">
        <v>204</v>
      </c>
      <c r="C27" s="29">
        <v>14</v>
      </c>
      <c r="D27" s="29">
        <f t="shared" si="0"/>
        <v>14.571428571428571</v>
      </c>
    </row>
    <row r="28" spans="2:4" x14ac:dyDescent="0.2">
      <c r="B28" s="29">
        <v>305</v>
      </c>
      <c r="C28" s="29">
        <v>38</v>
      </c>
      <c r="D28" s="29">
        <f t="shared" si="0"/>
        <v>8.026315789473685</v>
      </c>
    </row>
    <row r="29" spans="2:4" x14ac:dyDescent="0.2">
      <c r="B29" s="29">
        <v>230</v>
      </c>
      <c r="C29" s="29">
        <v>18</v>
      </c>
      <c r="D29" s="29">
        <f t="shared" si="0"/>
        <v>12.777777777777779</v>
      </c>
    </row>
    <row r="30" spans="2:4" x14ac:dyDescent="0.2">
      <c r="B30" s="29">
        <v>387</v>
      </c>
      <c r="C30" s="29">
        <v>24</v>
      </c>
      <c r="D30" s="29">
        <f t="shared" si="0"/>
        <v>16.125</v>
      </c>
    </row>
    <row r="31" spans="2:4" x14ac:dyDescent="0.2">
      <c r="B31" s="29">
        <v>217</v>
      </c>
      <c r="C31" s="29">
        <v>8</v>
      </c>
      <c r="D31" s="29">
        <f t="shared" si="0"/>
        <v>27.125</v>
      </c>
    </row>
    <row r="32" spans="2:4" x14ac:dyDescent="0.2">
      <c r="B32" s="29">
        <v>116</v>
      </c>
      <c r="C32" s="29">
        <v>2</v>
      </c>
      <c r="D32" s="29">
        <f t="shared" si="0"/>
        <v>58</v>
      </c>
    </row>
    <row r="33" spans="2:14" x14ac:dyDescent="0.2">
      <c r="B33" s="29">
        <v>166</v>
      </c>
      <c r="C33" s="29">
        <v>1</v>
      </c>
      <c r="D33" s="29">
        <f t="shared" si="0"/>
        <v>166</v>
      </c>
    </row>
    <row r="34" spans="2:14" x14ac:dyDescent="0.2">
      <c r="B34" s="29">
        <v>275</v>
      </c>
      <c r="C34" s="29">
        <v>7</v>
      </c>
      <c r="D34" s="29">
        <f t="shared" si="0"/>
        <v>39.285714285714285</v>
      </c>
    </row>
    <row r="35" spans="2:14" x14ac:dyDescent="0.2">
      <c r="B35" s="29">
        <v>216</v>
      </c>
      <c r="C35" s="29">
        <v>10</v>
      </c>
      <c r="D35" s="29">
        <f t="shared" si="0"/>
        <v>21.6</v>
      </c>
    </row>
    <row r="36" spans="2:14" x14ac:dyDescent="0.2">
      <c r="B36" s="29">
        <v>536</v>
      </c>
      <c r="C36" s="29">
        <v>20</v>
      </c>
      <c r="D36" s="29">
        <f t="shared" si="0"/>
        <v>26.8</v>
      </c>
    </row>
    <row r="37" spans="2:14" x14ac:dyDescent="0.2">
      <c r="B37" s="29">
        <v>320</v>
      </c>
      <c r="C37" s="29">
        <v>9</v>
      </c>
      <c r="D37" s="29">
        <f t="shared" si="0"/>
        <v>35.555555555555557</v>
      </c>
    </row>
    <row r="38" spans="2:14" x14ac:dyDescent="0.2">
      <c r="B38" s="29">
        <v>373</v>
      </c>
      <c r="C38" s="29">
        <v>13</v>
      </c>
      <c r="D38" s="29">
        <f t="shared" si="0"/>
        <v>28.692307692307693</v>
      </c>
    </row>
    <row r="39" spans="2:14" x14ac:dyDescent="0.2">
      <c r="B39" s="29">
        <v>282</v>
      </c>
      <c r="C39" s="29">
        <v>3</v>
      </c>
      <c r="D39" s="29">
        <f t="shared" si="0"/>
        <v>94</v>
      </c>
    </row>
    <row r="40" spans="2:14" x14ac:dyDescent="0.2">
      <c r="B40" s="29">
        <v>320</v>
      </c>
      <c r="C40" s="29">
        <v>10</v>
      </c>
      <c r="D40" s="29">
        <f t="shared" si="0"/>
        <v>32</v>
      </c>
    </row>
    <row r="41" spans="2:14" x14ac:dyDescent="0.2">
      <c r="B41" s="29">
        <v>370</v>
      </c>
      <c r="C41" s="29">
        <v>2</v>
      </c>
      <c r="D41" s="29">
        <f t="shared" si="0"/>
        <v>185</v>
      </c>
    </row>
    <row r="42" spans="2:14" x14ac:dyDescent="0.2">
      <c r="B42" s="29">
        <v>282</v>
      </c>
      <c r="C42" s="29">
        <v>5</v>
      </c>
      <c r="D42" s="29">
        <f t="shared" si="0"/>
        <v>56.4</v>
      </c>
    </row>
    <row r="43" spans="2:14" x14ac:dyDescent="0.2">
      <c r="B43" s="29">
        <v>245</v>
      </c>
      <c r="C43" s="29">
        <v>7</v>
      </c>
      <c r="D43" s="29">
        <f t="shared" si="0"/>
        <v>35</v>
      </c>
    </row>
    <row r="44" spans="2:14" x14ac:dyDescent="0.2">
      <c r="B44" s="29">
        <v>100</v>
      </c>
      <c r="C44" s="29">
        <v>19</v>
      </c>
      <c r="D44" s="29">
        <f t="shared" si="0"/>
        <v>5.2631578947368425</v>
      </c>
    </row>
    <row r="45" spans="2:14" x14ac:dyDescent="0.2">
      <c r="B45" s="29">
        <v>200</v>
      </c>
      <c r="C45" s="29">
        <v>5</v>
      </c>
      <c r="D45" s="29">
        <f t="shared" si="0"/>
        <v>40</v>
      </c>
    </row>
    <row r="46" spans="2:14" x14ac:dyDescent="0.2">
      <c r="B46" s="29">
        <v>361</v>
      </c>
      <c r="C46" s="29">
        <v>30</v>
      </c>
      <c r="D46" s="29">
        <f t="shared" si="0"/>
        <v>12.033333333333333</v>
      </c>
    </row>
    <row r="47" spans="2:14" x14ac:dyDescent="0.2">
      <c r="B47" s="29">
        <v>393</v>
      </c>
      <c r="C47" s="29">
        <v>60</v>
      </c>
      <c r="D47" s="29">
        <f t="shared" si="0"/>
        <v>6.55</v>
      </c>
      <c r="H47" t="s">
        <v>89</v>
      </c>
      <c r="I47" t="s">
        <v>90</v>
      </c>
      <c r="J47" t="s">
        <v>91</v>
      </c>
      <c r="L47" t="s">
        <v>92</v>
      </c>
      <c r="N47" t="s">
        <v>93</v>
      </c>
    </row>
    <row r="48" spans="2:14" x14ac:dyDescent="0.2">
      <c r="B48" s="29">
        <v>245</v>
      </c>
      <c r="C48" s="29">
        <v>21</v>
      </c>
      <c r="D48" s="29">
        <f t="shared" si="0"/>
        <v>11.666666666666666</v>
      </c>
      <c r="G48" t="s">
        <v>75</v>
      </c>
      <c r="H48">
        <f>MAX($C$1:$C$184)</f>
        <v>170</v>
      </c>
      <c r="I48">
        <f>MIN($C$1:$C$184)</f>
        <v>1</v>
      </c>
      <c r="J48">
        <f>AVERAGE($C$1:$C$184)</f>
        <v>33.745108695652178</v>
      </c>
      <c r="L48">
        <f>_xlfn.STDEV.P($C$1:$C$184)</f>
        <v>30.007205257729179</v>
      </c>
      <c r="N48">
        <f>H48-I48</f>
        <v>169</v>
      </c>
    </row>
    <row r="49" spans="2:14" x14ac:dyDescent="0.2">
      <c r="B49" s="29">
        <v>323</v>
      </c>
      <c r="C49" s="29">
        <v>30</v>
      </c>
      <c r="D49" s="29">
        <f t="shared" si="0"/>
        <v>10.766666666666667</v>
      </c>
      <c r="G49" t="s">
        <v>74</v>
      </c>
      <c r="H49">
        <f>MAX($B1:$B184)</f>
        <v>1450</v>
      </c>
      <c r="I49">
        <f>MIN($B1:$B184)</f>
        <v>20</v>
      </c>
      <c r="J49">
        <f>AVERAGE($B1:$B184)</f>
        <v>299.62717391304346</v>
      </c>
      <c r="L49">
        <f>_xlfn.STDEV.P(B1:$B184)</f>
        <v>199.65770142881874</v>
      </c>
      <c r="N49">
        <f>H49-I49</f>
        <v>1430</v>
      </c>
    </row>
    <row r="50" spans="2:14" x14ac:dyDescent="0.2">
      <c r="B50" s="29">
        <v>290</v>
      </c>
      <c r="C50" s="29">
        <v>13</v>
      </c>
      <c r="D50" s="29">
        <f t="shared" si="0"/>
        <v>22.307692307692307</v>
      </c>
      <c r="G50" t="s">
        <v>103</v>
      </c>
      <c r="H50">
        <f>MAX($D2:$D185)</f>
        <v>185</v>
      </c>
      <c r="I50">
        <f>MIN($D2:$D185)</f>
        <v>3.2124999999999999</v>
      </c>
      <c r="J50">
        <f>AVERAGE($D1:$D185)</f>
        <v>18.41219962516373</v>
      </c>
      <c r="L50">
        <f>_xlfn.STDEV.P(D2:$D185)</f>
        <v>26.052309568263947</v>
      </c>
    </row>
    <row r="51" spans="2:14" x14ac:dyDescent="0.2">
      <c r="B51" s="29">
        <v>161</v>
      </c>
      <c r="C51" s="29">
        <v>5</v>
      </c>
      <c r="D51" s="29">
        <f t="shared" si="0"/>
        <v>32.200000000000003</v>
      </c>
    </row>
    <row r="52" spans="2:14" x14ac:dyDescent="0.2">
      <c r="B52" s="29">
        <v>182</v>
      </c>
      <c r="C52" s="29">
        <v>2</v>
      </c>
      <c r="D52" s="29">
        <f t="shared" si="0"/>
        <v>91</v>
      </c>
    </row>
    <row r="53" spans="2:14" x14ac:dyDescent="0.2">
      <c r="B53" s="30">
        <v>400</v>
      </c>
      <c r="C53" s="30">
        <v>33</v>
      </c>
      <c r="D53" s="29">
        <f t="shared" si="0"/>
        <v>12.121212121212121</v>
      </c>
      <c r="H53">
        <v>100</v>
      </c>
      <c r="I53">
        <v>18</v>
      </c>
      <c r="L53">
        <f>H53/I53</f>
        <v>5.5555555555555554</v>
      </c>
    </row>
    <row r="54" spans="2:14" x14ac:dyDescent="0.2">
      <c r="B54" s="30">
        <v>525</v>
      </c>
      <c r="C54" s="30">
        <v>130</v>
      </c>
      <c r="D54" s="29">
        <f t="shared" si="0"/>
        <v>4.0384615384615383</v>
      </c>
      <c r="H54">
        <v>300</v>
      </c>
      <c r="I54">
        <v>35</v>
      </c>
      <c r="L54">
        <f t="shared" ref="L54" si="10">H54/I54</f>
        <v>8.5714285714285712</v>
      </c>
    </row>
    <row r="55" spans="2:14" x14ac:dyDescent="0.2">
      <c r="B55" s="30">
        <v>250</v>
      </c>
      <c r="C55" s="30">
        <v>3</v>
      </c>
      <c r="D55" s="29">
        <f t="shared" si="0"/>
        <v>83.333333333333329</v>
      </c>
      <c r="H55">
        <v>500</v>
      </c>
      <c r="I55">
        <v>70</v>
      </c>
      <c r="L55">
        <f>H55/I55</f>
        <v>7.1428571428571432</v>
      </c>
    </row>
    <row r="56" spans="2:14" x14ac:dyDescent="0.2">
      <c r="B56" s="30">
        <v>368</v>
      </c>
      <c r="C56" s="30">
        <v>20</v>
      </c>
      <c r="D56" s="29">
        <f t="shared" si="0"/>
        <v>18.399999999999999</v>
      </c>
    </row>
    <row r="57" spans="2:14" x14ac:dyDescent="0.2">
      <c r="B57" s="30">
        <v>456</v>
      </c>
      <c r="C57" s="30">
        <v>16.5</v>
      </c>
      <c r="D57" s="29">
        <f t="shared" si="0"/>
        <v>27.636363636363637</v>
      </c>
    </row>
    <row r="58" spans="2:14" x14ac:dyDescent="0.2">
      <c r="B58" s="30">
        <v>211</v>
      </c>
      <c r="C58" s="30">
        <v>2</v>
      </c>
      <c r="D58" s="29">
        <f t="shared" si="0"/>
        <v>105.5</v>
      </c>
    </row>
    <row r="59" spans="2:14" x14ac:dyDescent="0.2">
      <c r="B59" s="30">
        <v>278</v>
      </c>
      <c r="C59" s="30">
        <v>22</v>
      </c>
      <c r="D59" s="29">
        <f t="shared" si="0"/>
        <v>12.636363636363637</v>
      </c>
    </row>
    <row r="60" spans="2:14" x14ac:dyDescent="0.2">
      <c r="B60" s="30">
        <v>196</v>
      </c>
      <c r="C60" s="30">
        <v>16</v>
      </c>
      <c r="D60" s="29">
        <f t="shared" si="0"/>
        <v>12.25</v>
      </c>
      <c r="M60" t="s">
        <v>94</v>
      </c>
    </row>
    <row r="61" spans="2:14" x14ac:dyDescent="0.2">
      <c r="B61" s="30">
        <v>164</v>
      </c>
      <c r="C61" s="30">
        <v>19</v>
      </c>
      <c r="D61" s="29">
        <f t="shared" si="0"/>
        <v>8.6315789473684212</v>
      </c>
      <c r="M61">
        <f>MEDIAN($C$1:$C$184)</f>
        <v>24.5</v>
      </c>
    </row>
    <row r="62" spans="2:14" x14ac:dyDescent="0.2">
      <c r="B62" s="30">
        <v>244</v>
      </c>
      <c r="C62" s="30">
        <v>21</v>
      </c>
      <c r="D62" s="29">
        <f t="shared" si="0"/>
        <v>11.619047619047619</v>
      </c>
      <c r="M62">
        <f>MEDIAN($B1:$B184)</f>
        <v>267.5</v>
      </c>
    </row>
    <row r="63" spans="2:14" x14ac:dyDescent="0.2">
      <c r="B63" s="30">
        <v>20</v>
      </c>
      <c r="C63" s="30">
        <v>5</v>
      </c>
      <c r="D63" s="29">
        <f t="shared" si="0"/>
        <v>4</v>
      </c>
    </row>
    <row r="64" spans="2:14" x14ac:dyDescent="0.2">
      <c r="B64" s="30">
        <v>407</v>
      </c>
      <c r="C64" s="30">
        <v>51</v>
      </c>
      <c r="D64" s="29">
        <f t="shared" si="0"/>
        <v>7.9803921568627452</v>
      </c>
    </row>
    <row r="65" spans="2:4" x14ac:dyDescent="0.2">
      <c r="B65" s="30">
        <v>379</v>
      </c>
      <c r="C65" s="30">
        <v>90</v>
      </c>
      <c r="D65" s="29">
        <f t="shared" si="0"/>
        <v>4.2111111111111112</v>
      </c>
    </row>
    <row r="66" spans="2:4" x14ac:dyDescent="0.2">
      <c r="B66" s="30">
        <v>569</v>
      </c>
      <c r="C66" s="30">
        <v>100</v>
      </c>
      <c r="D66" s="29">
        <f t="shared" ref="D66:D129" si="11">B66/C66</f>
        <v>5.69</v>
      </c>
    </row>
    <row r="67" spans="2:4" x14ac:dyDescent="0.2">
      <c r="B67" s="30">
        <v>774</v>
      </c>
      <c r="C67" s="30">
        <v>84</v>
      </c>
      <c r="D67" s="29">
        <f t="shared" si="11"/>
        <v>9.2142857142857135</v>
      </c>
    </row>
    <row r="68" spans="2:4" x14ac:dyDescent="0.2">
      <c r="B68" s="30">
        <v>279</v>
      </c>
      <c r="C68" s="30">
        <v>2</v>
      </c>
      <c r="D68" s="29">
        <f t="shared" si="11"/>
        <v>139.5</v>
      </c>
    </row>
    <row r="69" spans="2:4" x14ac:dyDescent="0.2">
      <c r="B69" s="30">
        <v>307</v>
      </c>
      <c r="C69" s="30">
        <v>3</v>
      </c>
      <c r="D69" s="29">
        <f t="shared" si="11"/>
        <v>102.33333333333333</v>
      </c>
    </row>
    <row r="70" spans="2:4" x14ac:dyDescent="0.2">
      <c r="B70" s="30">
        <v>264</v>
      </c>
      <c r="C70" s="30">
        <v>5</v>
      </c>
      <c r="D70" s="29">
        <f t="shared" si="11"/>
        <v>52.8</v>
      </c>
    </row>
    <row r="71" spans="2:4" x14ac:dyDescent="0.2">
      <c r="B71" s="30">
        <v>266</v>
      </c>
      <c r="C71" s="30">
        <v>7</v>
      </c>
      <c r="D71" s="29">
        <f t="shared" si="11"/>
        <v>38</v>
      </c>
    </row>
    <row r="72" spans="2:4" x14ac:dyDescent="0.2">
      <c r="B72" s="30">
        <v>553</v>
      </c>
      <c r="C72" s="30">
        <v>75</v>
      </c>
      <c r="D72" s="29">
        <f t="shared" si="11"/>
        <v>7.3733333333333331</v>
      </c>
    </row>
    <row r="73" spans="2:4" x14ac:dyDescent="0.2">
      <c r="B73" s="30">
        <v>390</v>
      </c>
      <c r="C73" s="30">
        <v>86</v>
      </c>
      <c r="D73" s="29">
        <f t="shared" si="11"/>
        <v>4.5348837209302326</v>
      </c>
    </row>
    <row r="74" spans="2:4" x14ac:dyDescent="0.2">
      <c r="B74" s="30">
        <v>838</v>
      </c>
      <c r="C74" s="30">
        <v>116</v>
      </c>
      <c r="D74" s="29">
        <f t="shared" si="11"/>
        <v>7.2241379310344831</v>
      </c>
    </row>
    <row r="75" spans="2:4" x14ac:dyDescent="0.2">
      <c r="B75" s="30">
        <v>552</v>
      </c>
      <c r="C75" s="30">
        <v>72</v>
      </c>
      <c r="D75" s="29">
        <f t="shared" si="11"/>
        <v>7.666666666666667</v>
      </c>
    </row>
    <row r="76" spans="2:4" x14ac:dyDescent="0.2">
      <c r="B76" s="30">
        <v>447</v>
      </c>
      <c r="C76" s="30">
        <v>50</v>
      </c>
      <c r="D76" s="29">
        <f t="shared" si="11"/>
        <v>8.94</v>
      </c>
    </row>
    <row r="77" spans="2:4" x14ac:dyDescent="0.2">
      <c r="B77" s="30">
        <v>844</v>
      </c>
      <c r="C77" s="30">
        <v>103</v>
      </c>
      <c r="D77" s="29">
        <f t="shared" si="11"/>
        <v>8.1941747572815533</v>
      </c>
    </row>
    <row r="78" spans="2:4" x14ac:dyDescent="0.2">
      <c r="B78" s="30">
        <v>757</v>
      </c>
      <c r="C78" s="30">
        <v>53</v>
      </c>
      <c r="D78" s="29">
        <f t="shared" si="11"/>
        <v>14.283018867924529</v>
      </c>
    </row>
    <row r="79" spans="2:4" x14ac:dyDescent="0.2">
      <c r="B79" s="30">
        <v>397</v>
      </c>
      <c r="C79" s="30">
        <v>27</v>
      </c>
      <c r="D79" s="29">
        <f t="shared" si="11"/>
        <v>14.703703703703704</v>
      </c>
    </row>
    <row r="80" spans="2:4" x14ac:dyDescent="0.2">
      <c r="B80" s="31">
        <v>251</v>
      </c>
      <c r="C80" s="33">
        <v>11</v>
      </c>
      <c r="D80" s="29">
        <f t="shared" si="11"/>
        <v>22.818181818181817</v>
      </c>
    </row>
    <row r="81" spans="2:4" x14ac:dyDescent="0.2">
      <c r="B81" s="31">
        <v>315</v>
      </c>
      <c r="C81" s="33">
        <v>29</v>
      </c>
      <c r="D81" s="29">
        <f t="shared" si="11"/>
        <v>10.862068965517242</v>
      </c>
    </row>
    <row r="82" spans="2:4" x14ac:dyDescent="0.2">
      <c r="B82" s="31">
        <v>324</v>
      </c>
      <c r="C82" s="33">
        <v>16</v>
      </c>
      <c r="D82" s="29">
        <f t="shared" si="11"/>
        <v>20.25</v>
      </c>
    </row>
    <row r="83" spans="2:4" x14ac:dyDescent="0.2">
      <c r="B83" s="31">
        <v>443</v>
      </c>
      <c r="C83" s="33">
        <v>30</v>
      </c>
      <c r="D83" s="29">
        <f t="shared" si="11"/>
        <v>14.766666666666667</v>
      </c>
    </row>
    <row r="84" spans="2:4" x14ac:dyDescent="0.2">
      <c r="B84" s="31">
        <v>305</v>
      </c>
      <c r="C84" s="33">
        <v>17</v>
      </c>
      <c r="D84" s="29">
        <f t="shared" si="11"/>
        <v>17.941176470588236</v>
      </c>
    </row>
    <row r="85" spans="2:4" x14ac:dyDescent="0.2">
      <c r="B85" s="31">
        <v>192</v>
      </c>
      <c r="C85" s="33">
        <v>16</v>
      </c>
      <c r="D85" s="29">
        <f t="shared" si="11"/>
        <v>12</v>
      </c>
    </row>
    <row r="86" spans="2:4" x14ac:dyDescent="0.2">
      <c r="B86" s="31">
        <v>404</v>
      </c>
      <c r="C86" s="33">
        <v>71</v>
      </c>
      <c r="D86" s="29">
        <f t="shared" si="11"/>
        <v>5.6901408450704229</v>
      </c>
    </row>
    <row r="87" spans="2:4" x14ac:dyDescent="0.2">
      <c r="B87" s="31">
        <v>380</v>
      </c>
      <c r="C87" s="33">
        <v>78</v>
      </c>
      <c r="D87" s="29">
        <f t="shared" si="11"/>
        <v>4.8717948717948714</v>
      </c>
    </row>
    <row r="88" spans="2:4" x14ac:dyDescent="0.2">
      <c r="B88" s="31">
        <v>271</v>
      </c>
      <c r="C88" s="33">
        <v>44</v>
      </c>
      <c r="D88" s="29">
        <f t="shared" si="11"/>
        <v>6.1590909090909092</v>
      </c>
    </row>
    <row r="89" spans="2:4" x14ac:dyDescent="0.2">
      <c r="B89" s="31">
        <v>217</v>
      </c>
      <c r="C89" s="33">
        <v>24</v>
      </c>
      <c r="D89" s="29">
        <f t="shared" si="11"/>
        <v>9.0416666666666661</v>
      </c>
    </row>
    <row r="90" spans="2:4" x14ac:dyDescent="0.2">
      <c r="B90" s="31">
        <v>242</v>
      </c>
      <c r="C90" s="33">
        <v>15</v>
      </c>
      <c r="D90" s="29">
        <f t="shared" si="11"/>
        <v>16.133333333333333</v>
      </c>
    </row>
    <row r="91" spans="2:4" x14ac:dyDescent="0.2">
      <c r="B91" s="31">
        <v>271</v>
      </c>
      <c r="C91" s="33">
        <v>18</v>
      </c>
      <c r="D91" s="29">
        <f t="shared" si="11"/>
        <v>15.055555555555555</v>
      </c>
    </row>
    <row r="92" spans="2:4" x14ac:dyDescent="0.2">
      <c r="B92" s="31">
        <v>307</v>
      </c>
      <c r="C92" s="33">
        <v>11</v>
      </c>
      <c r="D92" s="29">
        <f t="shared" si="11"/>
        <v>27.90909090909091</v>
      </c>
    </row>
    <row r="93" spans="2:4" x14ac:dyDescent="0.2">
      <c r="B93" s="31">
        <v>368</v>
      </c>
      <c r="C93" s="33">
        <v>48</v>
      </c>
      <c r="D93" s="29">
        <f t="shared" si="11"/>
        <v>7.666666666666667</v>
      </c>
    </row>
    <row r="94" spans="2:4" x14ac:dyDescent="0.2">
      <c r="B94" s="31">
        <v>328</v>
      </c>
      <c r="C94" s="33">
        <v>43</v>
      </c>
      <c r="D94" s="29">
        <f t="shared" si="11"/>
        <v>7.6279069767441863</v>
      </c>
    </row>
    <row r="95" spans="2:4" x14ac:dyDescent="0.2">
      <c r="B95" s="31">
        <v>292</v>
      </c>
      <c r="C95" s="33">
        <v>32</v>
      </c>
      <c r="D95" s="29">
        <f t="shared" si="11"/>
        <v>9.125</v>
      </c>
    </row>
    <row r="96" spans="2:4" x14ac:dyDescent="0.2">
      <c r="B96" s="31">
        <v>276</v>
      </c>
      <c r="C96" s="33">
        <v>27</v>
      </c>
      <c r="D96" s="29">
        <f t="shared" si="11"/>
        <v>10.222222222222221</v>
      </c>
    </row>
    <row r="97" spans="2:4" x14ac:dyDescent="0.2">
      <c r="B97" s="31">
        <v>294</v>
      </c>
      <c r="C97" s="33">
        <v>10</v>
      </c>
      <c r="D97" s="29">
        <f t="shared" si="11"/>
        <v>29.4</v>
      </c>
    </row>
    <row r="98" spans="2:4" x14ac:dyDescent="0.2">
      <c r="B98" s="31">
        <v>402</v>
      </c>
      <c r="C98" s="33">
        <v>32</v>
      </c>
      <c r="D98" s="29">
        <f t="shared" si="11"/>
        <v>12.5625</v>
      </c>
    </row>
    <row r="99" spans="2:4" x14ac:dyDescent="0.2">
      <c r="B99" s="31">
        <v>456</v>
      </c>
      <c r="C99" s="33">
        <v>61</v>
      </c>
      <c r="D99" s="29">
        <f t="shared" si="11"/>
        <v>7.4754098360655741</v>
      </c>
    </row>
    <row r="100" spans="2:4" x14ac:dyDescent="0.2">
      <c r="B100" s="31">
        <v>455</v>
      </c>
      <c r="C100" s="33">
        <v>49</v>
      </c>
      <c r="D100" s="29">
        <f t="shared" si="11"/>
        <v>9.2857142857142865</v>
      </c>
    </row>
    <row r="101" spans="2:4" x14ac:dyDescent="0.2">
      <c r="B101" s="31">
        <v>378</v>
      </c>
      <c r="C101" s="33">
        <v>28</v>
      </c>
      <c r="D101" s="29">
        <f t="shared" si="11"/>
        <v>13.5</v>
      </c>
    </row>
    <row r="102" spans="2:4" x14ac:dyDescent="0.2">
      <c r="B102" s="31">
        <v>424</v>
      </c>
      <c r="C102" s="33">
        <v>25</v>
      </c>
      <c r="D102" s="29">
        <f t="shared" si="11"/>
        <v>16.96</v>
      </c>
    </row>
    <row r="103" spans="2:4" x14ac:dyDescent="0.2">
      <c r="B103" s="31">
        <v>155</v>
      </c>
      <c r="C103" s="33">
        <v>13</v>
      </c>
      <c r="D103" s="29">
        <f t="shared" si="11"/>
        <v>11.923076923076923</v>
      </c>
    </row>
    <row r="104" spans="2:4" x14ac:dyDescent="0.2">
      <c r="B104" s="32">
        <v>1230</v>
      </c>
      <c r="C104" s="32">
        <v>170</v>
      </c>
      <c r="D104" s="29">
        <f t="shared" si="11"/>
        <v>7.2352941176470589</v>
      </c>
    </row>
    <row r="105" spans="2:4" x14ac:dyDescent="0.2">
      <c r="B105" s="32">
        <v>658</v>
      </c>
      <c r="C105" s="32">
        <v>71</v>
      </c>
      <c r="D105" s="29">
        <f t="shared" si="11"/>
        <v>9.2676056338028161</v>
      </c>
    </row>
    <row r="106" spans="2:4" x14ac:dyDescent="0.2">
      <c r="B106" s="32">
        <v>666</v>
      </c>
      <c r="C106" s="32">
        <v>108</v>
      </c>
      <c r="D106" s="29">
        <f t="shared" si="11"/>
        <v>6.166666666666667</v>
      </c>
    </row>
    <row r="107" spans="2:4" x14ac:dyDescent="0.2">
      <c r="B107" s="32">
        <v>400</v>
      </c>
      <c r="C107" s="32">
        <v>25</v>
      </c>
      <c r="D107" s="29">
        <f t="shared" si="11"/>
        <v>16</v>
      </c>
    </row>
    <row r="108" spans="2:4" x14ac:dyDescent="0.2">
      <c r="B108" s="32">
        <v>513</v>
      </c>
      <c r="C108" s="32">
        <v>25</v>
      </c>
      <c r="D108" s="29">
        <f t="shared" si="11"/>
        <v>20.52</v>
      </c>
    </row>
    <row r="109" spans="2:4" x14ac:dyDescent="0.2">
      <c r="B109" s="32">
        <v>507</v>
      </c>
      <c r="C109" s="32">
        <v>25</v>
      </c>
      <c r="D109" s="29">
        <f t="shared" si="11"/>
        <v>20.28</v>
      </c>
    </row>
    <row r="110" spans="2:4" x14ac:dyDescent="0.2">
      <c r="B110" s="32">
        <v>261</v>
      </c>
      <c r="C110" s="32">
        <v>29</v>
      </c>
      <c r="D110" s="29">
        <f t="shared" si="11"/>
        <v>9</v>
      </c>
    </row>
    <row r="111" spans="2:4" x14ac:dyDescent="0.2">
      <c r="B111" s="32">
        <v>291</v>
      </c>
      <c r="C111" s="32">
        <v>56</v>
      </c>
      <c r="D111" s="29">
        <f t="shared" si="11"/>
        <v>5.1964285714285712</v>
      </c>
    </row>
    <row r="112" spans="2:4" x14ac:dyDescent="0.2">
      <c r="B112" s="32">
        <v>502</v>
      </c>
      <c r="C112" s="32">
        <v>59</v>
      </c>
      <c r="D112" s="29">
        <f t="shared" si="11"/>
        <v>8.5084745762711869</v>
      </c>
    </row>
    <row r="113" spans="2:4" x14ac:dyDescent="0.2">
      <c r="B113" s="32">
        <v>388</v>
      </c>
      <c r="C113" s="32">
        <v>46</v>
      </c>
      <c r="D113" s="29">
        <f t="shared" si="11"/>
        <v>8.4347826086956523</v>
      </c>
    </row>
    <row r="114" spans="2:4" x14ac:dyDescent="0.2">
      <c r="B114" s="32">
        <v>440</v>
      </c>
      <c r="C114" s="32">
        <v>65</v>
      </c>
      <c r="D114" s="29">
        <f t="shared" si="11"/>
        <v>6.7692307692307692</v>
      </c>
    </row>
    <row r="115" spans="2:4" x14ac:dyDescent="0.2">
      <c r="B115" s="32">
        <v>1450</v>
      </c>
      <c r="C115" s="32">
        <v>93</v>
      </c>
      <c r="D115" s="29">
        <f t="shared" si="11"/>
        <v>15.591397849462366</v>
      </c>
    </row>
    <row r="116" spans="2:4" x14ac:dyDescent="0.2">
      <c r="B116" s="32">
        <v>1170</v>
      </c>
      <c r="C116" s="32">
        <v>99</v>
      </c>
      <c r="D116" s="29">
        <f t="shared" si="11"/>
        <v>11.818181818181818</v>
      </c>
    </row>
    <row r="117" spans="2:4" x14ac:dyDescent="0.2">
      <c r="B117" s="32">
        <v>319</v>
      </c>
      <c r="C117" s="32">
        <v>10</v>
      </c>
      <c r="D117" s="29">
        <f t="shared" si="11"/>
        <v>31.9</v>
      </c>
    </row>
    <row r="118" spans="2:4" x14ac:dyDescent="0.2">
      <c r="B118" s="32">
        <v>290</v>
      </c>
      <c r="C118" s="32">
        <v>60</v>
      </c>
      <c r="D118" s="29">
        <f t="shared" si="11"/>
        <v>4.833333333333333</v>
      </c>
    </row>
    <row r="119" spans="2:4" x14ac:dyDescent="0.2">
      <c r="B119" s="32">
        <v>192</v>
      </c>
      <c r="C119" s="32">
        <v>37</v>
      </c>
      <c r="D119" s="29">
        <f t="shared" si="11"/>
        <v>5.1891891891891895</v>
      </c>
    </row>
    <row r="120" spans="2:4" x14ac:dyDescent="0.2">
      <c r="B120" s="32">
        <v>260</v>
      </c>
      <c r="C120" s="32">
        <v>9</v>
      </c>
      <c r="D120" s="29">
        <f t="shared" si="11"/>
        <v>28.888888888888889</v>
      </c>
    </row>
    <row r="121" spans="2:4" x14ac:dyDescent="0.2">
      <c r="B121" s="32">
        <v>185</v>
      </c>
      <c r="C121" s="32">
        <v>13</v>
      </c>
      <c r="D121" s="29">
        <f t="shared" si="11"/>
        <v>14.23076923076923</v>
      </c>
    </row>
    <row r="122" spans="2:4" x14ac:dyDescent="0.2">
      <c r="B122" s="32">
        <v>285</v>
      </c>
      <c r="C122" s="32">
        <v>59</v>
      </c>
      <c r="D122" s="29">
        <f t="shared" si="11"/>
        <v>4.8305084745762707</v>
      </c>
    </row>
    <row r="123" spans="2:4" x14ac:dyDescent="0.2">
      <c r="B123" s="32">
        <v>181</v>
      </c>
      <c r="C123" s="32">
        <v>21</v>
      </c>
      <c r="D123" s="29">
        <f t="shared" si="11"/>
        <v>8.6190476190476186</v>
      </c>
    </row>
    <row r="124" spans="2:4" x14ac:dyDescent="0.2">
      <c r="B124" s="32">
        <v>172</v>
      </c>
      <c r="C124" s="32">
        <v>36</v>
      </c>
      <c r="D124" s="29">
        <f t="shared" si="11"/>
        <v>4.7777777777777777</v>
      </c>
    </row>
    <row r="125" spans="2:4" x14ac:dyDescent="0.2">
      <c r="B125" s="32">
        <v>134</v>
      </c>
      <c r="C125" s="32">
        <v>32</v>
      </c>
      <c r="D125" s="29">
        <f t="shared" si="11"/>
        <v>4.1875</v>
      </c>
    </row>
    <row r="126" spans="2:4" x14ac:dyDescent="0.2">
      <c r="B126" s="32">
        <v>124</v>
      </c>
      <c r="C126" s="32">
        <v>22</v>
      </c>
      <c r="D126" s="29">
        <f t="shared" si="11"/>
        <v>5.6363636363636367</v>
      </c>
    </row>
    <row r="127" spans="2:4" x14ac:dyDescent="0.2">
      <c r="B127" s="32">
        <v>205</v>
      </c>
      <c r="C127" s="32">
        <v>22</v>
      </c>
      <c r="D127" s="29">
        <f t="shared" si="11"/>
        <v>9.3181818181818183</v>
      </c>
    </row>
    <row r="128" spans="2:4" x14ac:dyDescent="0.2">
      <c r="B128" s="32">
        <v>268</v>
      </c>
      <c r="C128" s="32">
        <v>48</v>
      </c>
      <c r="D128" s="29">
        <f t="shared" si="11"/>
        <v>5.583333333333333</v>
      </c>
    </row>
    <row r="129" spans="2:4" x14ac:dyDescent="0.2">
      <c r="B129" s="32">
        <v>452</v>
      </c>
      <c r="C129" s="32">
        <v>69</v>
      </c>
      <c r="D129" s="29">
        <f t="shared" si="11"/>
        <v>6.5507246376811592</v>
      </c>
    </row>
    <row r="130" spans="2:4" x14ac:dyDescent="0.2">
      <c r="B130" s="32">
        <v>286</v>
      </c>
      <c r="C130" s="32">
        <v>33</v>
      </c>
      <c r="D130" s="29">
        <f t="shared" ref="D130:D184" si="12">B130/C130</f>
        <v>8.6666666666666661</v>
      </c>
    </row>
    <row r="131" spans="2:4" x14ac:dyDescent="0.2">
      <c r="B131" s="32">
        <v>700</v>
      </c>
      <c r="C131" s="32">
        <v>118</v>
      </c>
      <c r="D131" s="29">
        <f t="shared" si="12"/>
        <v>5.9322033898305087</v>
      </c>
    </row>
    <row r="132" spans="2:4" x14ac:dyDescent="0.2">
      <c r="B132" s="32">
        <v>496</v>
      </c>
      <c r="C132" s="32">
        <v>102</v>
      </c>
      <c r="D132" s="29">
        <f t="shared" si="12"/>
        <v>4.8627450980392153</v>
      </c>
    </row>
    <row r="133" spans="2:4" x14ac:dyDescent="0.2">
      <c r="B133" s="32">
        <v>304</v>
      </c>
      <c r="C133" s="32">
        <v>29</v>
      </c>
      <c r="D133" s="29">
        <f t="shared" si="12"/>
        <v>10.482758620689655</v>
      </c>
    </row>
    <row r="134" spans="2:4" x14ac:dyDescent="0.2">
      <c r="B134" s="32">
        <v>194</v>
      </c>
      <c r="C134" s="32">
        <v>36</v>
      </c>
      <c r="D134" s="29">
        <f t="shared" si="12"/>
        <v>5.3888888888888893</v>
      </c>
    </row>
    <row r="135" spans="2:4" x14ac:dyDescent="0.2">
      <c r="B135" s="32">
        <v>209</v>
      </c>
      <c r="C135" s="32">
        <v>35</v>
      </c>
      <c r="D135" s="29">
        <f t="shared" si="12"/>
        <v>5.9714285714285715</v>
      </c>
    </row>
    <row r="136" spans="2:4" x14ac:dyDescent="0.2">
      <c r="B136" s="32">
        <v>213</v>
      </c>
      <c r="C136" s="32">
        <v>34</v>
      </c>
      <c r="D136" s="29">
        <f t="shared" si="12"/>
        <v>6.2647058823529411</v>
      </c>
    </row>
    <row r="137" spans="2:4" x14ac:dyDescent="0.2">
      <c r="B137" s="32">
        <v>126</v>
      </c>
      <c r="C137" s="32">
        <v>23</v>
      </c>
      <c r="D137" s="29">
        <f t="shared" si="12"/>
        <v>5.4782608695652177</v>
      </c>
    </row>
    <row r="138" spans="2:4" x14ac:dyDescent="0.2">
      <c r="B138" s="32">
        <v>111</v>
      </c>
      <c r="C138" s="32">
        <v>14</v>
      </c>
      <c r="D138" s="29">
        <f t="shared" si="12"/>
        <v>7.9285714285714288</v>
      </c>
    </row>
    <row r="139" spans="2:4" x14ac:dyDescent="0.2">
      <c r="B139" s="32">
        <v>241</v>
      </c>
      <c r="C139" s="32">
        <v>41</v>
      </c>
      <c r="D139" s="29">
        <f t="shared" si="12"/>
        <v>5.8780487804878048</v>
      </c>
    </row>
    <row r="140" spans="2:4" x14ac:dyDescent="0.2">
      <c r="B140" s="32">
        <v>142</v>
      </c>
      <c r="C140" s="32">
        <v>15</v>
      </c>
      <c r="D140" s="29">
        <f t="shared" si="12"/>
        <v>9.4666666666666668</v>
      </c>
    </row>
    <row r="141" spans="2:4" x14ac:dyDescent="0.2">
      <c r="B141" s="30">
        <v>328</v>
      </c>
      <c r="C141" s="30">
        <v>60</v>
      </c>
      <c r="D141" s="29">
        <f t="shared" si="12"/>
        <v>5.4666666666666668</v>
      </c>
    </row>
    <row r="142" spans="2:4" x14ac:dyDescent="0.2">
      <c r="B142" s="30">
        <v>170</v>
      </c>
      <c r="C142" s="30">
        <v>43</v>
      </c>
      <c r="D142" s="29">
        <f t="shared" si="12"/>
        <v>3.9534883720930232</v>
      </c>
    </row>
    <row r="143" spans="2:4" x14ac:dyDescent="0.2">
      <c r="B143" s="30">
        <v>197</v>
      </c>
      <c r="C143" s="30">
        <v>38</v>
      </c>
      <c r="D143" s="29">
        <f t="shared" si="12"/>
        <v>5.1842105263157894</v>
      </c>
    </row>
    <row r="144" spans="2:4" x14ac:dyDescent="0.2">
      <c r="B144" s="30">
        <v>194</v>
      </c>
      <c r="C144" s="30">
        <v>19</v>
      </c>
      <c r="D144" s="29">
        <f t="shared" si="12"/>
        <v>10.210526315789474</v>
      </c>
    </row>
    <row r="145" spans="2:4" x14ac:dyDescent="0.2">
      <c r="B145" s="30">
        <v>166</v>
      </c>
      <c r="C145" s="30">
        <v>10</v>
      </c>
      <c r="D145" s="29">
        <f t="shared" si="12"/>
        <v>16.600000000000001</v>
      </c>
    </row>
    <row r="146" spans="2:4" x14ac:dyDescent="0.2">
      <c r="B146" s="30">
        <v>183</v>
      </c>
      <c r="C146" s="30">
        <v>29</v>
      </c>
      <c r="D146" s="29">
        <f t="shared" si="12"/>
        <v>6.3103448275862073</v>
      </c>
    </row>
    <row r="147" spans="2:4" x14ac:dyDescent="0.2">
      <c r="B147" s="30">
        <v>89</v>
      </c>
      <c r="C147" s="30">
        <v>9</v>
      </c>
      <c r="D147" s="29">
        <f t="shared" si="12"/>
        <v>9.8888888888888893</v>
      </c>
    </row>
    <row r="148" spans="2:4" x14ac:dyDescent="0.2">
      <c r="B148" s="30">
        <v>81</v>
      </c>
      <c r="C148" s="30">
        <v>9</v>
      </c>
      <c r="D148" s="29">
        <f t="shared" si="12"/>
        <v>9</v>
      </c>
    </row>
    <row r="149" spans="2:4" x14ac:dyDescent="0.2">
      <c r="B149" s="30">
        <v>97</v>
      </c>
      <c r="C149" s="30">
        <v>20</v>
      </c>
      <c r="D149" s="29">
        <f t="shared" si="12"/>
        <v>4.8499999999999996</v>
      </c>
    </row>
    <row r="150" spans="2:4" x14ac:dyDescent="0.2">
      <c r="B150" s="30">
        <v>120</v>
      </c>
      <c r="C150" s="30">
        <v>22</v>
      </c>
      <c r="D150" s="29">
        <f t="shared" si="12"/>
        <v>5.4545454545454541</v>
      </c>
    </row>
    <row r="151" spans="2:4" x14ac:dyDescent="0.2">
      <c r="B151" s="30">
        <v>113</v>
      </c>
      <c r="C151" s="30">
        <v>12</v>
      </c>
      <c r="D151" s="29">
        <f t="shared" si="12"/>
        <v>9.4166666666666661</v>
      </c>
    </row>
    <row r="152" spans="2:4" x14ac:dyDescent="0.2">
      <c r="B152" s="30">
        <v>82</v>
      </c>
      <c r="C152" s="30">
        <v>9</v>
      </c>
      <c r="D152" s="29">
        <f t="shared" si="12"/>
        <v>9.1111111111111107</v>
      </c>
    </row>
    <row r="153" spans="2:4" x14ac:dyDescent="0.2">
      <c r="B153" s="30">
        <v>91</v>
      </c>
      <c r="C153" s="30">
        <v>18</v>
      </c>
      <c r="D153" s="29">
        <f t="shared" si="12"/>
        <v>5.0555555555555554</v>
      </c>
    </row>
    <row r="154" spans="2:4" x14ac:dyDescent="0.2">
      <c r="B154" s="30">
        <v>115</v>
      </c>
      <c r="C154" s="30">
        <v>14</v>
      </c>
      <c r="D154" s="29">
        <f t="shared" si="12"/>
        <v>8.2142857142857135</v>
      </c>
    </row>
    <row r="155" spans="2:4" x14ac:dyDescent="0.2">
      <c r="B155" s="30">
        <v>114</v>
      </c>
      <c r="C155" s="30">
        <v>19</v>
      </c>
      <c r="D155" s="29">
        <f t="shared" si="12"/>
        <v>6</v>
      </c>
    </row>
    <row r="156" spans="2:4" x14ac:dyDescent="0.2">
      <c r="B156" s="30">
        <v>106</v>
      </c>
      <c r="C156" s="30">
        <v>28</v>
      </c>
      <c r="D156" s="29">
        <f t="shared" si="12"/>
        <v>3.7857142857142856</v>
      </c>
    </row>
    <row r="157" spans="2:4" x14ac:dyDescent="0.2">
      <c r="B157" s="30">
        <v>139</v>
      </c>
      <c r="C157" s="30">
        <v>7</v>
      </c>
      <c r="D157" s="29">
        <f t="shared" si="12"/>
        <v>19.857142857142858</v>
      </c>
    </row>
    <row r="158" spans="2:4" x14ac:dyDescent="0.2">
      <c r="B158" s="30">
        <v>187</v>
      </c>
      <c r="C158" s="30">
        <v>36</v>
      </c>
      <c r="D158" s="29">
        <f t="shared" si="12"/>
        <v>5.1944444444444446</v>
      </c>
    </row>
    <row r="159" spans="2:4" x14ac:dyDescent="0.2">
      <c r="B159" s="30">
        <v>97</v>
      </c>
      <c r="C159" s="30">
        <v>12</v>
      </c>
      <c r="D159" s="29">
        <f t="shared" si="12"/>
        <v>8.0833333333333339</v>
      </c>
    </row>
    <row r="160" spans="2:4" x14ac:dyDescent="0.2">
      <c r="B160" s="30">
        <v>300</v>
      </c>
      <c r="C160" s="30">
        <v>62</v>
      </c>
      <c r="D160" s="29">
        <f t="shared" si="12"/>
        <v>4.838709677419355</v>
      </c>
    </row>
    <row r="161" spans="2:4" x14ac:dyDescent="0.2">
      <c r="B161" s="30">
        <v>291</v>
      </c>
      <c r="C161" s="30">
        <v>41</v>
      </c>
      <c r="D161" s="29">
        <f t="shared" si="12"/>
        <v>7.0975609756097562</v>
      </c>
    </row>
    <row r="162" spans="2:4" x14ac:dyDescent="0.2">
      <c r="B162" s="30">
        <v>160</v>
      </c>
      <c r="C162" s="30">
        <v>37</v>
      </c>
      <c r="D162" s="29">
        <f t="shared" si="12"/>
        <v>4.3243243243243246</v>
      </c>
    </row>
    <row r="163" spans="2:4" x14ac:dyDescent="0.2">
      <c r="B163" s="30">
        <v>140</v>
      </c>
      <c r="C163" s="30">
        <v>41</v>
      </c>
      <c r="D163" s="29">
        <f t="shared" si="12"/>
        <v>3.4146341463414633</v>
      </c>
    </row>
    <row r="164" spans="2:4" x14ac:dyDescent="0.2">
      <c r="B164" s="30">
        <v>102</v>
      </c>
      <c r="C164" s="30">
        <v>14.1</v>
      </c>
      <c r="D164" s="29">
        <f t="shared" si="12"/>
        <v>7.2340425531914896</v>
      </c>
    </row>
    <row r="165" spans="2:4" x14ac:dyDescent="0.2">
      <c r="B165" s="30">
        <v>130</v>
      </c>
      <c r="C165" s="30">
        <v>7</v>
      </c>
      <c r="D165" s="29">
        <f t="shared" si="12"/>
        <v>18.571428571428573</v>
      </c>
    </row>
    <row r="166" spans="2:4" x14ac:dyDescent="0.2">
      <c r="B166" s="30">
        <v>122</v>
      </c>
      <c r="C166" s="30">
        <v>5</v>
      </c>
      <c r="D166" s="29">
        <f t="shared" si="12"/>
        <v>24.4</v>
      </c>
    </row>
    <row r="167" spans="2:4" x14ac:dyDescent="0.2">
      <c r="B167" s="30">
        <v>296</v>
      </c>
      <c r="C167" s="30">
        <v>77</v>
      </c>
      <c r="D167" s="29">
        <f t="shared" si="12"/>
        <v>3.8441558441558441</v>
      </c>
    </row>
    <row r="168" spans="2:4" x14ac:dyDescent="0.2">
      <c r="B168" s="30">
        <v>257</v>
      </c>
      <c r="C168" s="30">
        <v>80</v>
      </c>
      <c r="D168" s="29">
        <f t="shared" si="12"/>
        <v>3.2124999999999999</v>
      </c>
    </row>
    <row r="169" spans="2:4" x14ac:dyDescent="0.2">
      <c r="B169" s="30">
        <v>236</v>
      </c>
      <c r="C169" s="30">
        <v>70</v>
      </c>
      <c r="D169" s="29">
        <f t="shared" si="12"/>
        <v>3.3714285714285714</v>
      </c>
    </row>
    <row r="170" spans="2:4" x14ac:dyDescent="0.2">
      <c r="B170" s="30">
        <v>210</v>
      </c>
      <c r="C170" s="30">
        <v>63</v>
      </c>
      <c r="D170" s="29">
        <f t="shared" si="12"/>
        <v>3.3333333333333335</v>
      </c>
    </row>
    <row r="171" spans="2:4" x14ac:dyDescent="0.2">
      <c r="B171" s="30">
        <v>201</v>
      </c>
      <c r="C171" s="30">
        <v>62</v>
      </c>
      <c r="D171" s="29">
        <f t="shared" si="12"/>
        <v>3.2419354838709675</v>
      </c>
    </row>
    <row r="172" spans="2:4" x14ac:dyDescent="0.2">
      <c r="B172" s="30">
        <v>156</v>
      </c>
      <c r="C172" s="30">
        <v>34</v>
      </c>
      <c r="D172" s="29">
        <f t="shared" si="12"/>
        <v>4.5882352941176467</v>
      </c>
    </row>
    <row r="173" spans="2:4" x14ac:dyDescent="0.2">
      <c r="B173" s="30">
        <v>155</v>
      </c>
      <c r="C173" s="30">
        <v>40</v>
      </c>
      <c r="D173" s="29">
        <f t="shared" si="12"/>
        <v>3.875</v>
      </c>
    </row>
    <row r="174" spans="2:4" x14ac:dyDescent="0.2">
      <c r="B174" s="30">
        <v>128</v>
      </c>
      <c r="C174" s="30">
        <v>30</v>
      </c>
      <c r="D174" s="29">
        <f t="shared" si="12"/>
        <v>4.2666666666666666</v>
      </c>
    </row>
    <row r="175" spans="2:4" x14ac:dyDescent="0.2">
      <c r="B175" s="30">
        <v>90</v>
      </c>
      <c r="C175" s="30">
        <v>19</v>
      </c>
      <c r="D175" s="29">
        <f t="shared" si="12"/>
        <v>4.7368421052631575</v>
      </c>
    </row>
    <row r="176" spans="2:4" x14ac:dyDescent="0.2">
      <c r="B176" s="30">
        <v>170</v>
      </c>
      <c r="C176" s="30">
        <v>40</v>
      </c>
      <c r="D176" s="29">
        <f t="shared" si="12"/>
        <v>4.25</v>
      </c>
    </row>
    <row r="177" spans="2:4" x14ac:dyDescent="0.2">
      <c r="B177" s="30">
        <v>212</v>
      </c>
      <c r="C177" s="30">
        <v>53</v>
      </c>
      <c r="D177" s="29">
        <f t="shared" si="12"/>
        <v>4</v>
      </c>
    </row>
    <row r="178" spans="2:4" x14ac:dyDescent="0.2">
      <c r="B178" s="30">
        <v>107</v>
      </c>
      <c r="C178" s="30">
        <v>24</v>
      </c>
      <c r="D178" s="29">
        <f t="shared" si="12"/>
        <v>4.458333333333333</v>
      </c>
    </row>
    <row r="179" spans="2:4" x14ac:dyDescent="0.2">
      <c r="B179" s="30">
        <v>197</v>
      </c>
      <c r="C179" s="30">
        <v>37</v>
      </c>
      <c r="D179" s="29">
        <f t="shared" si="12"/>
        <v>5.3243243243243246</v>
      </c>
    </row>
    <row r="180" spans="2:4" x14ac:dyDescent="0.2">
      <c r="B180" s="30">
        <v>146</v>
      </c>
      <c r="C180" s="30">
        <v>20</v>
      </c>
      <c r="D180" s="29">
        <f t="shared" si="12"/>
        <v>7.3</v>
      </c>
    </row>
    <row r="181" spans="2:4" x14ac:dyDescent="0.2">
      <c r="B181" s="30">
        <v>111</v>
      </c>
      <c r="C181" s="30">
        <v>18</v>
      </c>
      <c r="D181" s="29">
        <f t="shared" si="12"/>
        <v>6.166666666666667</v>
      </c>
    </row>
    <row r="182" spans="2:4" x14ac:dyDescent="0.2">
      <c r="B182" s="30">
        <v>90</v>
      </c>
      <c r="C182" s="30">
        <v>20</v>
      </c>
      <c r="D182" s="29">
        <f t="shared" si="12"/>
        <v>4.5</v>
      </c>
    </row>
    <row r="183" spans="2:4" x14ac:dyDescent="0.2">
      <c r="B183" s="30">
        <v>386</v>
      </c>
      <c r="C183" s="30">
        <v>64</v>
      </c>
      <c r="D183" s="29">
        <f t="shared" si="12"/>
        <v>6.03125</v>
      </c>
    </row>
    <row r="184" spans="2:4" x14ac:dyDescent="0.2">
      <c r="B184" s="30">
        <v>390</v>
      </c>
      <c r="C184" s="30">
        <v>41</v>
      </c>
      <c r="D184" s="29">
        <f t="shared" si="12"/>
        <v>9.5121951219512191</v>
      </c>
    </row>
    <row r="185" spans="2:4" x14ac:dyDescent="0.2">
      <c r="B185" s="74">
        <v>90.6</v>
      </c>
      <c r="C185" s="74">
        <v>24</v>
      </c>
      <c r="D185" s="29"/>
    </row>
    <row r="186" spans="2:4" x14ac:dyDescent="0.2">
      <c r="B186" s="73">
        <v>112</v>
      </c>
      <c r="C186" s="73">
        <v>30</v>
      </c>
      <c r="D186" s="29"/>
    </row>
    <row r="187" spans="2:4" x14ac:dyDescent="0.2">
      <c r="B187" s="73">
        <v>80</v>
      </c>
      <c r="C187" s="73">
        <v>27</v>
      </c>
      <c r="D187" s="29"/>
    </row>
    <row r="188" spans="2:4" x14ac:dyDescent="0.2">
      <c r="B188" s="73">
        <v>123</v>
      </c>
      <c r="C188" s="73">
        <v>28</v>
      </c>
      <c r="D188" s="29"/>
    </row>
    <row r="189" spans="2:4" x14ac:dyDescent="0.2">
      <c r="B189" s="73">
        <v>93</v>
      </c>
      <c r="C189" s="73">
        <v>29</v>
      </c>
      <c r="D189" s="29"/>
    </row>
    <row r="190" spans="2:4" x14ac:dyDescent="0.2">
      <c r="B190" s="73">
        <v>86</v>
      </c>
      <c r="C190" s="73">
        <v>28</v>
      </c>
      <c r="D190" s="29"/>
    </row>
    <row r="191" spans="2:4" x14ac:dyDescent="0.2">
      <c r="B191" s="73">
        <v>243</v>
      </c>
      <c r="C191" s="73">
        <v>65</v>
      </c>
      <c r="D191" s="29"/>
    </row>
    <row r="192" spans="2:4" x14ac:dyDescent="0.2">
      <c r="B192" s="74">
        <v>268</v>
      </c>
      <c r="C192" s="74">
        <v>70</v>
      </c>
      <c r="D192" s="29"/>
    </row>
    <row r="193" spans="2:4" x14ac:dyDescent="0.2">
      <c r="B193" s="73">
        <v>288</v>
      </c>
      <c r="C193" s="73">
        <v>60</v>
      </c>
      <c r="D193" s="29"/>
    </row>
    <row r="194" spans="2:4" x14ac:dyDescent="0.2">
      <c r="B194" s="73">
        <v>258</v>
      </c>
      <c r="C194" s="73">
        <v>61</v>
      </c>
      <c r="D194" s="29"/>
    </row>
    <row r="195" spans="2:4" x14ac:dyDescent="0.2">
      <c r="B195" s="73">
        <v>172</v>
      </c>
      <c r="C195" s="73">
        <v>38</v>
      </c>
      <c r="D195" s="29"/>
    </row>
    <row r="196" spans="2:4" x14ac:dyDescent="0.2">
      <c r="B196" s="73">
        <v>152</v>
      </c>
      <c r="C196" s="73">
        <v>45</v>
      </c>
      <c r="D196" s="29"/>
    </row>
    <row r="197" spans="2:4" x14ac:dyDescent="0.2">
      <c r="B197" s="73">
        <v>183</v>
      </c>
      <c r="C197" s="73">
        <v>46</v>
      </c>
      <c r="D197" s="29"/>
    </row>
    <row r="198" spans="2:4" x14ac:dyDescent="0.2">
      <c r="B198" s="73">
        <v>177</v>
      </c>
      <c r="C198" s="73">
        <v>38</v>
      </c>
      <c r="D198" s="29"/>
    </row>
    <row r="199" spans="2:4" x14ac:dyDescent="0.2">
      <c r="B199" s="73">
        <v>213</v>
      </c>
      <c r="C199" s="73">
        <v>58</v>
      </c>
      <c r="D199" s="29"/>
    </row>
    <row r="200" spans="2:4" x14ac:dyDescent="0.2">
      <c r="B200" s="73">
        <v>259</v>
      </c>
      <c r="C200" s="73">
        <v>77</v>
      </c>
      <c r="D200" s="29"/>
    </row>
    <row r="201" spans="2:4" x14ac:dyDescent="0.2">
      <c r="B201" s="73">
        <v>222</v>
      </c>
      <c r="C201" s="73">
        <v>72</v>
      </c>
      <c r="D201" s="29"/>
    </row>
    <row r="202" spans="2:4" x14ac:dyDescent="0.2">
      <c r="B202" s="73">
        <v>133</v>
      </c>
      <c r="C202" s="73">
        <v>46</v>
      </c>
      <c r="D202" s="29"/>
    </row>
    <row r="203" spans="2:4" x14ac:dyDescent="0.2">
      <c r="B203" s="73">
        <v>70</v>
      </c>
      <c r="C203" s="73">
        <v>17</v>
      </c>
      <c r="D203" s="29"/>
    </row>
    <row r="204" spans="2:4" x14ac:dyDescent="0.2">
      <c r="B204" s="73">
        <v>425</v>
      </c>
      <c r="C204" s="73">
        <v>143</v>
      </c>
      <c r="D204" s="29"/>
    </row>
    <row r="205" spans="2:4" x14ac:dyDescent="0.2">
      <c r="B205" s="73">
        <v>429</v>
      </c>
      <c r="C205" s="73">
        <v>115</v>
      </c>
      <c r="D205" s="29"/>
    </row>
    <row r="206" spans="2:4" x14ac:dyDescent="0.2">
      <c r="B206" s="73">
        <v>278</v>
      </c>
      <c r="C206" s="73">
        <v>72</v>
      </c>
      <c r="D206" s="29"/>
    </row>
    <row r="207" spans="2:4" x14ac:dyDescent="0.2">
      <c r="B207" s="73">
        <v>427</v>
      </c>
      <c r="C207" s="73">
        <v>114</v>
      </c>
      <c r="D207" s="29"/>
    </row>
    <row r="208" spans="2:4" x14ac:dyDescent="0.2">
      <c r="B208" s="73">
        <v>491</v>
      </c>
      <c r="C208" s="73">
        <v>147</v>
      </c>
      <c r="D208" s="29"/>
    </row>
    <row r="209" spans="2:4" x14ac:dyDescent="0.2">
      <c r="B209" s="73">
        <v>469</v>
      </c>
      <c r="C209" s="73">
        <v>130</v>
      </c>
      <c r="D209" s="29"/>
    </row>
    <row r="210" spans="2:4" x14ac:dyDescent="0.2">
      <c r="B210" s="73">
        <v>450</v>
      </c>
      <c r="C210" s="73">
        <v>125</v>
      </c>
      <c r="D210" s="29"/>
    </row>
    <row r="211" spans="2:4" x14ac:dyDescent="0.2">
      <c r="B211" s="73">
        <v>398</v>
      </c>
      <c r="C211" s="73">
        <v>77</v>
      </c>
      <c r="D211" s="29"/>
    </row>
    <row r="212" spans="2:4" x14ac:dyDescent="0.2">
      <c r="B212" s="73">
        <v>284</v>
      </c>
      <c r="C212" s="73">
        <v>92</v>
      </c>
      <c r="D212" s="29"/>
    </row>
    <row r="213" spans="2:4" x14ac:dyDescent="0.2">
      <c r="B213" s="73">
        <v>480</v>
      </c>
      <c r="C213" s="73">
        <v>126</v>
      </c>
      <c r="D213" s="29"/>
    </row>
    <row r="214" spans="2:4" x14ac:dyDescent="0.2">
      <c r="B214" s="73">
        <v>327</v>
      </c>
      <c r="C214" s="73">
        <v>91</v>
      </c>
      <c r="D214" s="29"/>
    </row>
    <row r="215" spans="2:4" x14ac:dyDescent="0.2">
      <c r="B215" s="73">
        <v>494</v>
      </c>
      <c r="C215" s="73">
        <v>168</v>
      </c>
      <c r="D215" s="29"/>
    </row>
    <row r="216" spans="2:4" x14ac:dyDescent="0.2">
      <c r="B216" s="73">
        <v>484</v>
      </c>
      <c r="C216" s="73">
        <v>149</v>
      </c>
      <c r="D216" s="29"/>
    </row>
    <row r="217" spans="2:4" x14ac:dyDescent="0.2">
      <c r="B217" s="73">
        <v>669</v>
      </c>
      <c r="C217" s="73">
        <v>188</v>
      </c>
      <c r="D217" s="29"/>
    </row>
    <row r="218" spans="2:4" x14ac:dyDescent="0.2">
      <c r="B218" s="73">
        <v>510</v>
      </c>
      <c r="C218" s="73">
        <v>151</v>
      </c>
    </row>
    <row r="219" spans="2:4" x14ac:dyDescent="0.2">
      <c r="B219" s="73">
        <v>501</v>
      </c>
      <c r="C219" s="73">
        <v>138</v>
      </c>
    </row>
    <row r="220" spans="2:4" x14ac:dyDescent="0.2">
      <c r="B220" s="73">
        <v>402</v>
      </c>
      <c r="C220" s="73">
        <v>94.4</v>
      </c>
    </row>
    <row r="221" spans="2:4" x14ac:dyDescent="0.2">
      <c r="B221" s="73">
        <v>395</v>
      </c>
      <c r="C221" s="73">
        <v>90</v>
      </c>
    </row>
    <row r="222" spans="2:4" x14ac:dyDescent="0.2">
      <c r="B222" s="73">
        <v>378</v>
      </c>
      <c r="C222" s="73">
        <v>86.2</v>
      </c>
    </row>
    <row r="223" spans="2:4" x14ac:dyDescent="0.2">
      <c r="B223" s="73">
        <v>528</v>
      </c>
      <c r="C223" s="73">
        <v>127</v>
      </c>
    </row>
    <row r="224" spans="2:4" x14ac:dyDescent="0.2">
      <c r="B224" s="73">
        <v>465</v>
      </c>
      <c r="C224" s="73">
        <v>86</v>
      </c>
    </row>
    <row r="225" spans="2:3" x14ac:dyDescent="0.2">
      <c r="B225" s="73">
        <v>447</v>
      </c>
      <c r="C225" s="73">
        <v>86</v>
      </c>
    </row>
    <row r="226" spans="2:3" x14ac:dyDescent="0.2">
      <c r="B226" s="73">
        <v>609</v>
      </c>
      <c r="C226" s="73">
        <v>48</v>
      </c>
    </row>
    <row r="227" spans="2:3" x14ac:dyDescent="0.2">
      <c r="B227" s="73">
        <v>430</v>
      </c>
      <c r="C227" s="73">
        <v>103</v>
      </c>
    </row>
    <row r="228" spans="2:3" x14ac:dyDescent="0.2">
      <c r="B228" s="73">
        <v>409</v>
      </c>
      <c r="C228" s="73">
        <v>110</v>
      </c>
    </row>
    <row r="229" spans="2:3" x14ac:dyDescent="0.2">
      <c r="B229" s="73">
        <v>728</v>
      </c>
      <c r="C229" s="73">
        <v>190</v>
      </c>
    </row>
    <row r="230" spans="2:3" x14ac:dyDescent="0.2">
      <c r="B230" s="73">
        <v>788</v>
      </c>
      <c r="C230" s="73">
        <v>220</v>
      </c>
    </row>
    <row r="231" spans="2:3" x14ac:dyDescent="0.2">
      <c r="B231" s="73">
        <v>706</v>
      </c>
      <c r="C231" s="73">
        <v>153</v>
      </c>
    </row>
    <row r="232" spans="2:3" x14ac:dyDescent="0.2">
      <c r="B232" s="73">
        <v>515</v>
      </c>
      <c r="C232" s="73">
        <v>118</v>
      </c>
    </row>
    <row r="233" spans="2:3" x14ac:dyDescent="0.2">
      <c r="B233" s="73">
        <v>433</v>
      </c>
      <c r="C233" s="73">
        <v>92</v>
      </c>
    </row>
    <row r="234" spans="2:3" x14ac:dyDescent="0.2">
      <c r="B234" s="73">
        <v>538</v>
      </c>
      <c r="C234" s="73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5" sqref="A15:H22"/>
    </sheetView>
  </sheetViews>
  <sheetFormatPr baseColWidth="10" defaultColWidth="8.83203125" defaultRowHeight="16" x14ac:dyDescent="0.2"/>
  <cols>
    <col min="1" max="2" width="27.5" customWidth="1"/>
    <col min="3" max="3" width="16.5" customWidth="1"/>
    <col min="8" max="8" width="13.1640625" customWidth="1"/>
  </cols>
  <sheetData>
    <row r="1" spans="1:9" x14ac:dyDescent="0.2">
      <c r="A1" t="s">
        <v>96</v>
      </c>
    </row>
    <row r="2" spans="1:9" x14ac:dyDescent="0.2">
      <c r="A2" s="76" t="s">
        <v>137</v>
      </c>
      <c r="B2" s="76"/>
      <c r="C2" s="76" t="s">
        <v>115</v>
      </c>
      <c r="D2" s="76" t="s">
        <v>138</v>
      </c>
      <c r="E2" s="76" t="s">
        <v>139</v>
      </c>
      <c r="F2" s="76" t="s">
        <v>114</v>
      </c>
      <c r="G2" s="76" t="s">
        <v>140</v>
      </c>
      <c r="H2" s="76" t="s">
        <v>141</v>
      </c>
      <c r="I2" s="76"/>
    </row>
    <row r="3" spans="1:9" x14ac:dyDescent="0.2">
      <c r="A3" s="76" t="s">
        <v>98</v>
      </c>
      <c r="B3" s="76"/>
      <c r="C3" s="76">
        <v>300</v>
      </c>
      <c r="D3" s="76">
        <v>600</v>
      </c>
      <c r="E3" s="76">
        <v>900</v>
      </c>
      <c r="F3" s="76">
        <v>1200</v>
      </c>
      <c r="G3" s="76">
        <v>2400</v>
      </c>
      <c r="H3" s="76">
        <v>0</v>
      </c>
      <c r="I3" s="76"/>
    </row>
    <row r="4" spans="1:9" x14ac:dyDescent="0.2">
      <c r="A4" s="76" t="s">
        <v>137</v>
      </c>
      <c r="B4" s="76"/>
      <c r="C4" s="76" t="s">
        <v>142</v>
      </c>
      <c r="D4" s="76" t="s">
        <v>143</v>
      </c>
      <c r="E4" s="76" t="s">
        <v>144</v>
      </c>
      <c r="F4" s="76"/>
      <c r="G4" s="76"/>
      <c r="H4" s="76"/>
      <c r="I4" s="76"/>
    </row>
    <row r="5" spans="1:9" x14ac:dyDescent="0.2">
      <c r="A5" s="76" t="s">
        <v>136</v>
      </c>
      <c r="B5" s="76"/>
      <c r="C5" s="76">
        <v>0.15</v>
      </c>
      <c r="D5" s="76">
        <v>0.09</v>
      </c>
      <c r="E5" s="76">
        <v>0.2</v>
      </c>
      <c r="F5" s="76"/>
      <c r="G5" s="76"/>
      <c r="H5" s="76"/>
      <c r="I5" s="76"/>
    </row>
    <row r="6" spans="1:9" x14ac:dyDescent="0.2">
      <c r="A6" s="76" t="s">
        <v>137</v>
      </c>
      <c r="B6" s="76"/>
      <c r="C6" s="76" t="s">
        <v>113</v>
      </c>
      <c r="D6" s="76" t="s">
        <v>145</v>
      </c>
      <c r="E6" s="76" t="s">
        <v>146</v>
      </c>
      <c r="F6" s="76"/>
      <c r="G6" s="76"/>
      <c r="H6" s="76"/>
      <c r="I6" s="76"/>
    </row>
    <row r="7" spans="1:9" x14ac:dyDescent="0.2">
      <c r="A7" s="76" t="s">
        <v>147</v>
      </c>
      <c r="B7" s="76"/>
      <c r="C7" s="76" t="s">
        <v>148</v>
      </c>
      <c r="D7" s="76" t="s">
        <v>149</v>
      </c>
      <c r="E7" s="76" t="s">
        <v>150</v>
      </c>
      <c r="F7" s="76"/>
      <c r="G7" s="76"/>
      <c r="H7" s="76"/>
      <c r="I7" s="76"/>
    </row>
    <row r="8" spans="1:9" x14ac:dyDescent="0.2">
      <c r="A8" s="76" t="s">
        <v>137</v>
      </c>
      <c r="B8" s="76"/>
      <c r="C8" s="76">
        <v>1</v>
      </c>
      <c r="D8" s="76">
        <v>4</v>
      </c>
      <c r="E8" s="76">
        <v>7</v>
      </c>
      <c r="F8" s="76">
        <v>0</v>
      </c>
      <c r="G8" s="76"/>
      <c r="H8" s="76"/>
      <c r="I8" s="76"/>
    </row>
    <row r="9" spans="1:9" x14ac:dyDescent="0.2">
      <c r="A9" s="76" t="s">
        <v>151</v>
      </c>
      <c r="B9" s="76"/>
      <c r="C9" s="76"/>
      <c r="D9" s="76"/>
      <c r="E9" s="76"/>
      <c r="F9" s="76"/>
      <c r="G9" s="76"/>
      <c r="H9" s="76"/>
      <c r="I9" s="76"/>
    </row>
    <row r="10" spans="1:9" x14ac:dyDescent="0.2">
      <c r="A10" s="76" t="s">
        <v>152</v>
      </c>
      <c r="B10" s="76"/>
      <c r="C10" s="76" t="s">
        <v>153</v>
      </c>
      <c r="D10" s="76" t="s">
        <v>154</v>
      </c>
      <c r="E10" s="76" t="s">
        <v>155</v>
      </c>
      <c r="F10" s="76"/>
      <c r="G10" s="76"/>
      <c r="H10" s="76"/>
      <c r="I10" s="76"/>
    </row>
    <row r="11" spans="1:9" x14ac:dyDescent="0.2">
      <c r="A11" s="76"/>
      <c r="B11" s="76"/>
      <c r="C11" s="76"/>
      <c r="D11" s="76"/>
      <c r="E11" s="76"/>
      <c r="F11" s="76"/>
      <c r="G11" s="76"/>
      <c r="H11" s="76"/>
      <c r="I11" s="76"/>
    </row>
    <row r="12" spans="1:9" x14ac:dyDescent="0.2">
      <c r="A12" s="76"/>
      <c r="B12" s="76"/>
      <c r="C12" s="76"/>
      <c r="D12" s="76"/>
      <c r="E12" s="76"/>
      <c r="F12" s="76"/>
      <c r="G12" s="76"/>
      <c r="H12" s="76"/>
      <c r="I12" s="76"/>
    </row>
    <row r="13" spans="1:9" x14ac:dyDescent="0.2">
      <c r="A13" s="76"/>
      <c r="B13" s="76"/>
      <c r="C13" s="76"/>
      <c r="D13" s="76"/>
      <c r="E13" s="76"/>
      <c r="F13" s="76"/>
      <c r="G13" s="76"/>
      <c r="H13" s="76"/>
      <c r="I13" s="76"/>
    </row>
    <row r="14" spans="1:9" x14ac:dyDescent="0.2">
      <c r="A14" s="78" t="s">
        <v>158</v>
      </c>
      <c r="B14" s="78"/>
      <c r="C14" s="78"/>
      <c r="D14" s="78"/>
      <c r="E14" s="78"/>
      <c r="F14" s="78"/>
      <c r="G14" s="78"/>
      <c r="H14" s="78"/>
    </row>
    <row r="15" spans="1:9" x14ac:dyDescent="0.2">
      <c r="A15" s="78" t="s">
        <v>159</v>
      </c>
      <c r="B15" s="78" t="s">
        <v>152</v>
      </c>
      <c r="C15" s="78" t="s">
        <v>115</v>
      </c>
      <c r="D15" s="78" t="s">
        <v>138</v>
      </c>
      <c r="E15" s="78" t="s">
        <v>139</v>
      </c>
      <c r="F15" s="78" t="s">
        <v>114</v>
      </c>
      <c r="G15" s="78" t="s">
        <v>140</v>
      </c>
      <c r="H15" s="78" t="s">
        <v>141</v>
      </c>
    </row>
    <row r="16" spans="1:9" x14ac:dyDescent="0.2">
      <c r="A16" s="78"/>
      <c r="B16" s="78" t="s">
        <v>163</v>
      </c>
      <c r="C16" s="78">
        <v>300</v>
      </c>
      <c r="D16" s="78">
        <v>600</v>
      </c>
      <c r="E16" s="78">
        <v>900</v>
      </c>
      <c r="F16" s="78">
        <v>1200</v>
      </c>
      <c r="G16" s="78">
        <v>2400</v>
      </c>
      <c r="H16" s="78" t="s">
        <v>165</v>
      </c>
    </row>
    <row r="17" spans="1:8" x14ac:dyDescent="0.2">
      <c r="A17" s="78" t="s">
        <v>160</v>
      </c>
      <c r="B17" s="78" t="s">
        <v>152</v>
      </c>
      <c r="C17" s="78" t="s">
        <v>142</v>
      </c>
      <c r="D17" s="78" t="s">
        <v>143</v>
      </c>
      <c r="E17" s="78" t="s">
        <v>144</v>
      </c>
      <c r="F17" s="78"/>
      <c r="G17" s="78"/>
      <c r="H17" s="78"/>
    </row>
    <row r="18" spans="1:8" x14ac:dyDescent="0.2">
      <c r="A18" s="78"/>
      <c r="B18" s="78"/>
      <c r="C18" s="78">
        <v>0.09</v>
      </c>
      <c r="D18" s="78">
        <v>0.15</v>
      </c>
      <c r="E18" s="78">
        <v>0.2</v>
      </c>
      <c r="F18" s="78"/>
      <c r="G18" s="78"/>
      <c r="H18" s="78"/>
    </row>
    <row r="19" spans="1:8" x14ac:dyDescent="0.2">
      <c r="A19" s="78" t="s">
        <v>161</v>
      </c>
      <c r="B19" s="78" t="s">
        <v>152</v>
      </c>
      <c r="C19" s="78" t="s">
        <v>113</v>
      </c>
      <c r="D19" s="78" t="s">
        <v>146</v>
      </c>
      <c r="E19" s="78" t="s">
        <v>145</v>
      </c>
      <c r="F19" s="78"/>
      <c r="G19" s="78"/>
      <c r="H19" s="78"/>
    </row>
    <row r="20" spans="1:8" x14ac:dyDescent="0.2">
      <c r="A20" s="78"/>
      <c r="B20" s="78" t="s">
        <v>164</v>
      </c>
      <c r="C20" s="78">
        <v>300</v>
      </c>
      <c r="D20" s="78">
        <v>200</v>
      </c>
      <c r="E20" s="78">
        <v>100</v>
      </c>
      <c r="F20" s="78"/>
      <c r="G20" s="78"/>
      <c r="H20" s="78"/>
    </row>
    <row r="21" spans="1:8" x14ac:dyDescent="0.2">
      <c r="A21" s="78" t="s">
        <v>162</v>
      </c>
      <c r="B21" s="78" t="s">
        <v>152</v>
      </c>
      <c r="C21" s="78">
        <v>1</v>
      </c>
      <c r="D21" s="78">
        <v>4</v>
      </c>
      <c r="E21" s="78">
        <v>7</v>
      </c>
      <c r="F21" s="78">
        <v>0</v>
      </c>
      <c r="G21" s="78"/>
      <c r="H21" s="78"/>
    </row>
    <row r="22" spans="1:8" x14ac:dyDescent="0.2">
      <c r="A22" s="78"/>
      <c r="B22" s="78"/>
      <c r="C22" s="78">
        <v>0.1</v>
      </c>
      <c r="D22" s="78">
        <v>0.4</v>
      </c>
      <c r="E22" s="78">
        <v>0.7</v>
      </c>
      <c r="F22" s="78">
        <v>1</v>
      </c>
      <c r="G22" s="78"/>
      <c r="H22" s="7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8" workbookViewId="0">
      <selection activeCell="J33" sqref="J33"/>
    </sheetView>
  </sheetViews>
  <sheetFormatPr baseColWidth="10" defaultRowHeight="16" x14ac:dyDescent="0.2"/>
  <cols>
    <col min="10" max="10" width="11.83203125" bestFit="1" customWidth="1"/>
  </cols>
  <sheetData>
    <row r="1" spans="1:15" x14ac:dyDescent="0.2">
      <c r="F1" t="s">
        <v>104</v>
      </c>
      <c r="G1" t="s">
        <v>105</v>
      </c>
      <c r="H1">
        <v>63</v>
      </c>
      <c r="I1" t="s">
        <v>106</v>
      </c>
      <c r="J1">
        <v>9</v>
      </c>
      <c r="M1" s="42"/>
    </row>
    <row r="2" spans="1:15" x14ac:dyDescent="0.2">
      <c r="B2" t="s">
        <v>98</v>
      </c>
      <c r="C2" t="s">
        <v>97</v>
      </c>
      <c r="F2" s="5">
        <v>1225</v>
      </c>
      <c r="G2" t="s">
        <v>107</v>
      </c>
      <c r="H2">
        <f>MIN(F2:F64)</f>
        <v>160</v>
      </c>
      <c r="J2" t="s">
        <v>108</v>
      </c>
      <c r="K2">
        <f>MAX(F2:F64)</f>
        <v>4292</v>
      </c>
      <c r="L2" t="s">
        <v>110</v>
      </c>
      <c r="M2" s="42">
        <f>_xlfn.STDEV.P(F2:F64)</f>
        <v>746.56522849592932</v>
      </c>
      <c r="N2" t="s">
        <v>111</v>
      </c>
      <c r="O2" s="42">
        <f>AVERAGE(F2:F64)</f>
        <v>901.3736559139785</v>
      </c>
    </row>
    <row r="3" spans="1:15" x14ac:dyDescent="0.2">
      <c r="A3" t="s">
        <v>101</v>
      </c>
      <c r="B3">
        <v>542</v>
      </c>
      <c r="C3">
        <v>11.1</v>
      </c>
      <c r="F3">
        <v>1830</v>
      </c>
      <c r="M3" s="42"/>
    </row>
    <row r="4" spans="1:15" x14ac:dyDescent="0.2">
      <c r="B4">
        <v>774</v>
      </c>
      <c r="C4">
        <v>10.7</v>
      </c>
      <c r="F4">
        <v>2465</v>
      </c>
      <c r="H4" t="s">
        <v>109</v>
      </c>
      <c r="K4">
        <v>4</v>
      </c>
      <c r="M4" s="42">
        <v>200</v>
      </c>
      <c r="N4">
        <v>900</v>
      </c>
      <c r="O4">
        <v>1600</v>
      </c>
    </row>
    <row r="5" spans="1:15" x14ac:dyDescent="0.2">
      <c r="B5">
        <v>604</v>
      </c>
      <c r="C5">
        <v>6.4</v>
      </c>
      <c r="F5">
        <v>1800</v>
      </c>
      <c r="G5" s="42"/>
      <c r="H5" s="45">
        <v>160</v>
      </c>
      <c r="I5" s="42">
        <f t="array" ref="I5:I14">FREQUENCY(F2:F64,H5:H14)</f>
        <v>1</v>
      </c>
      <c r="J5" s="42">
        <f>I5/H$1</f>
        <v>1.5873015873015872E-2</v>
      </c>
      <c r="K5" s="42">
        <f>J5*K$4</f>
        <v>6.3492063492063489E-2</v>
      </c>
      <c r="M5" s="42"/>
    </row>
    <row r="6" spans="1:15" x14ac:dyDescent="0.2">
      <c r="B6">
        <v>448</v>
      </c>
      <c r="C6">
        <v>5.6</v>
      </c>
      <c r="F6">
        <v>1358</v>
      </c>
      <c r="G6" s="42"/>
      <c r="H6" s="45">
        <f>H5+($K$2/$J$1)</f>
        <v>636.88888888888891</v>
      </c>
      <c r="I6" s="42">
        <v>28</v>
      </c>
      <c r="J6" s="42">
        <f t="shared" ref="J6:J14" si="0">I6/H$1</f>
        <v>0.44444444444444442</v>
      </c>
      <c r="K6" s="43">
        <f t="shared" ref="K6:K14" si="1">J6*K$4</f>
        <v>1.7777777777777777</v>
      </c>
      <c r="L6" t="s">
        <v>127</v>
      </c>
      <c r="M6" s="42">
        <v>2</v>
      </c>
    </row>
    <row r="7" spans="1:15" x14ac:dyDescent="0.2">
      <c r="B7">
        <v>518</v>
      </c>
      <c r="C7">
        <v>11.7</v>
      </c>
      <c r="F7">
        <v>2223</v>
      </c>
      <c r="G7" s="42"/>
      <c r="H7" s="45">
        <f t="shared" ref="H7:H14" si="2">H6+($K$2/$J$1)</f>
        <v>1113.7777777777778</v>
      </c>
      <c r="I7" s="42">
        <v>17</v>
      </c>
      <c r="J7" s="42">
        <f t="shared" si="0"/>
        <v>0.26984126984126983</v>
      </c>
      <c r="K7" s="43">
        <f t="shared" si="1"/>
        <v>1.0793650793650793</v>
      </c>
      <c r="L7" t="s">
        <v>128</v>
      </c>
      <c r="M7" s="42">
        <v>1</v>
      </c>
    </row>
    <row r="8" spans="1:15" x14ac:dyDescent="0.2">
      <c r="B8">
        <v>1030</v>
      </c>
      <c r="C8">
        <v>11.5</v>
      </c>
      <c r="F8">
        <v>1229</v>
      </c>
      <c r="G8" s="42"/>
      <c r="H8" s="45">
        <f t="shared" si="2"/>
        <v>1590.6666666666667</v>
      </c>
      <c r="I8" s="42">
        <v>6</v>
      </c>
      <c r="J8" s="42">
        <f t="shared" si="0"/>
        <v>9.5238095238095233E-2</v>
      </c>
      <c r="K8" s="43">
        <f t="shared" si="1"/>
        <v>0.38095238095238093</v>
      </c>
      <c r="L8" t="s">
        <v>129</v>
      </c>
      <c r="M8" s="42">
        <v>1</v>
      </c>
    </row>
    <row r="9" spans="1:15" x14ac:dyDescent="0.2">
      <c r="A9" t="s">
        <v>102</v>
      </c>
      <c r="F9">
        <v>1637</v>
      </c>
      <c r="G9" s="42"/>
      <c r="H9" s="45">
        <f t="shared" si="2"/>
        <v>2067.5555555555557</v>
      </c>
      <c r="I9" s="42">
        <v>6</v>
      </c>
      <c r="J9" s="42">
        <f t="shared" si="0"/>
        <v>9.5238095238095233E-2</v>
      </c>
      <c r="K9" s="44">
        <f t="shared" si="1"/>
        <v>0.38095238095238093</v>
      </c>
    </row>
    <row r="10" spans="1:15" x14ac:dyDescent="0.2">
      <c r="B10">
        <v>423</v>
      </c>
      <c r="C10">
        <v>14.1</v>
      </c>
      <c r="F10">
        <v>746</v>
      </c>
      <c r="G10" s="42"/>
      <c r="H10" s="45">
        <f t="shared" si="2"/>
        <v>2544.4444444444443</v>
      </c>
      <c r="I10" s="42">
        <v>2</v>
      </c>
      <c r="J10" s="42">
        <f t="shared" si="0"/>
        <v>3.1746031746031744E-2</v>
      </c>
      <c r="K10" s="44">
        <f t="shared" si="1"/>
        <v>0.12698412698412698</v>
      </c>
    </row>
    <row r="11" spans="1:15" x14ac:dyDescent="0.2">
      <c r="B11">
        <v>343</v>
      </c>
      <c r="C11">
        <v>6.9</v>
      </c>
      <c r="F11">
        <v>1676</v>
      </c>
      <c r="G11" s="42"/>
      <c r="H11" s="45">
        <f t="shared" si="2"/>
        <v>3021.333333333333</v>
      </c>
      <c r="I11" s="42">
        <v>1</v>
      </c>
      <c r="J11" s="42">
        <f t="shared" si="0"/>
        <v>1.5873015873015872E-2</v>
      </c>
      <c r="K11" s="42">
        <f t="shared" si="1"/>
        <v>6.3492063492063489E-2</v>
      </c>
    </row>
    <row r="12" spans="1:15" x14ac:dyDescent="0.2">
      <c r="B12">
        <v>738</v>
      </c>
      <c r="C12">
        <v>4.5999999999999996</v>
      </c>
      <c r="F12">
        <v>1220</v>
      </c>
      <c r="G12" s="42"/>
      <c r="H12" s="45">
        <f>H11+($K$2/$J$1)</f>
        <v>3498.2222222222217</v>
      </c>
      <c r="I12" s="42">
        <v>0</v>
      </c>
      <c r="J12" s="42">
        <f t="shared" si="0"/>
        <v>0</v>
      </c>
      <c r="K12" s="42">
        <f t="shared" si="1"/>
        <v>0</v>
      </c>
    </row>
    <row r="13" spans="1:15" x14ac:dyDescent="0.2">
      <c r="B13">
        <v>724</v>
      </c>
      <c r="C13">
        <v>4.0999999999999996</v>
      </c>
      <c r="F13">
        <v>1975</v>
      </c>
      <c r="G13" s="42"/>
      <c r="H13" s="45">
        <f t="shared" si="2"/>
        <v>3975.1111111111104</v>
      </c>
      <c r="I13" s="42">
        <v>0</v>
      </c>
      <c r="J13" s="42">
        <f t="shared" si="0"/>
        <v>0</v>
      </c>
      <c r="K13" s="42">
        <f t="shared" si="1"/>
        <v>0</v>
      </c>
    </row>
    <row r="14" spans="1:15" x14ac:dyDescent="0.2">
      <c r="A14" t="s">
        <v>100</v>
      </c>
      <c r="B14">
        <v>832</v>
      </c>
      <c r="C14">
        <v>8.4</v>
      </c>
      <c r="F14">
        <v>500</v>
      </c>
      <c r="G14" s="42"/>
      <c r="H14" s="45">
        <f t="shared" si="2"/>
        <v>4451.9999999999991</v>
      </c>
      <c r="I14" s="42">
        <v>1</v>
      </c>
      <c r="J14" s="42">
        <f t="shared" si="0"/>
        <v>1.5873015873015872E-2</v>
      </c>
      <c r="K14" s="42">
        <f t="shared" si="1"/>
        <v>6.3492063492063489E-2</v>
      </c>
    </row>
    <row r="15" spans="1:15" x14ac:dyDescent="0.2">
      <c r="B15">
        <v>1100</v>
      </c>
      <c r="C15">
        <v>7.1</v>
      </c>
      <c r="F15">
        <v>1137</v>
      </c>
    </row>
    <row r="16" spans="1:15" x14ac:dyDescent="0.2">
      <c r="B16">
        <v>881</v>
      </c>
      <c r="C16">
        <v>15.4</v>
      </c>
      <c r="F16">
        <v>4292</v>
      </c>
    </row>
    <row r="17" spans="2:11" x14ac:dyDescent="0.2">
      <c r="F17">
        <v>3000</v>
      </c>
    </row>
    <row r="18" spans="2:11" x14ac:dyDescent="0.2">
      <c r="B18">
        <v>390</v>
      </c>
      <c r="C18">
        <v>12.9</v>
      </c>
      <c r="F18">
        <v>700</v>
      </c>
      <c r="H18">
        <v>100</v>
      </c>
      <c r="I18">
        <f t="array" ref="I18:I26">FREQUENCY(F1:F63,H18:H26)</f>
        <v>0</v>
      </c>
      <c r="J18">
        <f>I18/$H$1</f>
        <v>0</v>
      </c>
      <c r="K18">
        <f>J18</f>
        <v>0</v>
      </c>
    </row>
    <row r="19" spans="2:11" x14ac:dyDescent="0.2">
      <c r="B19">
        <v>834</v>
      </c>
      <c r="C19">
        <v>9.8000000000000007</v>
      </c>
      <c r="F19">
        <v>493</v>
      </c>
      <c r="H19">
        <v>200</v>
      </c>
      <c r="I19">
        <v>4</v>
      </c>
      <c r="J19">
        <f t="shared" ref="J19:J26" si="3">I19/$H$1</f>
        <v>6.3492063492063489E-2</v>
      </c>
      <c r="K19">
        <f>K18+J19</f>
        <v>6.3492063492063489E-2</v>
      </c>
    </row>
    <row r="20" spans="2:11" x14ac:dyDescent="0.2">
      <c r="B20">
        <v>415</v>
      </c>
      <c r="C20">
        <v>7.2</v>
      </c>
      <c r="F20">
        <v>890</v>
      </c>
      <c r="H20">
        <v>300</v>
      </c>
      <c r="I20">
        <v>7</v>
      </c>
      <c r="J20">
        <f t="shared" si="3"/>
        <v>0.1111111111111111</v>
      </c>
      <c r="K20">
        <f t="shared" ref="K20:K26" si="4">K19+J20</f>
        <v>0.17460317460317459</v>
      </c>
    </row>
    <row r="21" spans="2:11" x14ac:dyDescent="0.2">
      <c r="B21">
        <v>1120</v>
      </c>
      <c r="C21">
        <v>4.7</v>
      </c>
      <c r="F21">
        <v>1980</v>
      </c>
      <c r="H21">
        <v>400</v>
      </c>
      <c r="I21">
        <v>3</v>
      </c>
      <c r="J21">
        <f t="shared" si="3"/>
        <v>4.7619047619047616E-2</v>
      </c>
      <c r="K21">
        <f t="shared" si="4"/>
        <v>0.22222222222222221</v>
      </c>
    </row>
    <row r="22" spans="2:11" x14ac:dyDescent="0.2">
      <c r="F22">
        <v>1075</v>
      </c>
      <c r="H22">
        <v>500</v>
      </c>
      <c r="I22">
        <v>8</v>
      </c>
      <c r="J22">
        <f t="shared" si="3"/>
        <v>0.12698412698412698</v>
      </c>
      <c r="K22">
        <f t="shared" si="4"/>
        <v>0.34920634920634919</v>
      </c>
    </row>
    <row r="23" spans="2:11" x14ac:dyDescent="0.2">
      <c r="F23">
        <v>917</v>
      </c>
      <c r="H23">
        <v>600</v>
      </c>
      <c r="I23">
        <v>6</v>
      </c>
      <c r="J23">
        <f t="shared" si="3"/>
        <v>9.5238095238095233E-2</v>
      </c>
      <c r="K23">
        <f t="shared" si="4"/>
        <v>0.44444444444444442</v>
      </c>
    </row>
    <row r="24" spans="2:11" x14ac:dyDescent="0.2">
      <c r="F24">
        <v>700</v>
      </c>
      <c r="H24">
        <v>700</v>
      </c>
      <c r="I24">
        <v>3</v>
      </c>
      <c r="J24">
        <f t="shared" si="3"/>
        <v>4.7619047619047616E-2</v>
      </c>
      <c r="K24">
        <f t="shared" si="4"/>
        <v>0.49206349206349204</v>
      </c>
    </row>
    <row r="25" spans="2:11" x14ac:dyDescent="0.2">
      <c r="F25">
        <v>580</v>
      </c>
      <c r="H25">
        <v>800</v>
      </c>
      <c r="I25">
        <v>5</v>
      </c>
      <c r="J25">
        <f t="shared" si="3"/>
        <v>7.9365079365079361E-2</v>
      </c>
      <c r="K25">
        <f t="shared" si="4"/>
        <v>0.5714285714285714</v>
      </c>
    </row>
    <row r="26" spans="2:11" x14ac:dyDescent="0.2">
      <c r="F26">
        <v>1100</v>
      </c>
      <c r="H26">
        <v>1000</v>
      </c>
      <c r="I26">
        <v>6</v>
      </c>
      <c r="J26">
        <f t="shared" si="3"/>
        <v>9.5238095238095233E-2</v>
      </c>
      <c r="K26">
        <f t="shared" si="4"/>
        <v>0.66666666666666663</v>
      </c>
    </row>
    <row r="27" spans="2:11" x14ac:dyDescent="0.2">
      <c r="F27" s="5">
        <v>334</v>
      </c>
    </row>
    <row r="28" spans="2:11" x14ac:dyDescent="0.2">
      <c r="F28" s="6">
        <v>554</v>
      </c>
    </row>
    <row r="29" spans="2:11" x14ac:dyDescent="0.2">
      <c r="F29" s="6">
        <f>577/2</f>
        <v>288.5</v>
      </c>
    </row>
    <row r="30" spans="2:11" x14ac:dyDescent="0.2">
      <c r="F30" s="6">
        <f>1397/3</f>
        <v>465.66666666666669</v>
      </c>
    </row>
    <row r="31" spans="2:11" x14ac:dyDescent="0.2">
      <c r="F31" s="6">
        <f>894/2</f>
        <v>447</v>
      </c>
    </row>
    <row r="32" spans="2:11" x14ac:dyDescent="0.2">
      <c r="F32" s="7">
        <v>743</v>
      </c>
    </row>
    <row r="33" spans="6:6" x14ac:dyDescent="0.2">
      <c r="F33" s="10">
        <v>436</v>
      </c>
    </row>
    <row r="34" spans="6:6" x14ac:dyDescent="0.2">
      <c r="F34" s="11">
        <v>182</v>
      </c>
    </row>
    <row r="35" spans="6:6" x14ac:dyDescent="0.2">
      <c r="F35" s="11">
        <v>261</v>
      </c>
    </row>
    <row r="36" spans="6:6" x14ac:dyDescent="0.2">
      <c r="F36" s="12">
        <v>815</v>
      </c>
    </row>
    <row r="37" spans="6:6" x14ac:dyDescent="0.2">
      <c r="F37" s="15">
        <v>270</v>
      </c>
    </row>
    <row r="38" spans="6:6" x14ac:dyDescent="0.2">
      <c r="F38" s="16">
        <v>558</v>
      </c>
    </row>
    <row r="39" spans="6:6" x14ac:dyDescent="0.2">
      <c r="F39" s="24">
        <v>181</v>
      </c>
    </row>
    <row r="40" spans="6:6" x14ac:dyDescent="0.2">
      <c r="F40" s="24">
        <v>181</v>
      </c>
    </row>
    <row r="41" spans="6:6" x14ac:dyDescent="0.2">
      <c r="F41" s="25">
        <v>600</v>
      </c>
    </row>
    <row r="42" spans="6:6" x14ac:dyDescent="0.2">
      <c r="F42" s="10">
        <v>216</v>
      </c>
    </row>
    <row r="43" spans="6:6" x14ac:dyDescent="0.2">
      <c r="F43" s="11">
        <v>246</v>
      </c>
    </row>
    <row r="44" spans="6:6" x14ac:dyDescent="0.2">
      <c r="F44" s="11">
        <v>238</v>
      </c>
    </row>
    <row r="45" spans="6:6" x14ac:dyDescent="0.2">
      <c r="F45" s="11">
        <v>160</v>
      </c>
    </row>
    <row r="46" spans="6:6" x14ac:dyDescent="0.2">
      <c r="F46" s="11">
        <v>245</v>
      </c>
    </row>
    <row r="47" spans="6:6" x14ac:dyDescent="0.2">
      <c r="F47">
        <v>542</v>
      </c>
    </row>
    <row r="48" spans="6:6" x14ac:dyDescent="0.2">
      <c r="F48">
        <v>774</v>
      </c>
    </row>
    <row r="49" spans="6:6" x14ac:dyDescent="0.2">
      <c r="F49">
        <v>604</v>
      </c>
    </row>
    <row r="50" spans="6:6" x14ac:dyDescent="0.2">
      <c r="F50">
        <v>448</v>
      </c>
    </row>
    <row r="51" spans="6:6" x14ac:dyDescent="0.2">
      <c r="F51">
        <v>518</v>
      </c>
    </row>
    <row r="52" spans="6:6" x14ac:dyDescent="0.2">
      <c r="F52">
        <v>1030</v>
      </c>
    </row>
    <row r="53" spans="6:6" x14ac:dyDescent="0.2">
      <c r="F53">
        <v>423</v>
      </c>
    </row>
    <row r="54" spans="6:6" x14ac:dyDescent="0.2">
      <c r="F54">
        <v>343</v>
      </c>
    </row>
    <row r="55" spans="6:6" x14ac:dyDescent="0.2">
      <c r="F55">
        <v>738</v>
      </c>
    </row>
    <row r="56" spans="6:6" x14ac:dyDescent="0.2">
      <c r="F56">
        <v>724</v>
      </c>
    </row>
    <row r="57" spans="6:6" x14ac:dyDescent="0.2">
      <c r="F57">
        <v>832</v>
      </c>
    </row>
    <row r="58" spans="6:6" x14ac:dyDescent="0.2">
      <c r="F58">
        <v>1100</v>
      </c>
    </row>
    <row r="59" spans="6:6" x14ac:dyDescent="0.2">
      <c r="F59">
        <v>881</v>
      </c>
    </row>
    <row r="60" spans="6:6" x14ac:dyDescent="0.2">
      <c r="F60">
        <v>390</v>
      </c>
    </row>
    <row r="61" spans="6:6" x14ac:dyDescent="0.2">
      <c r="F61">
        <v>834</v>
      </c>
    </row>
    <row r="62" spans="6:6" x14ac:dyDescent="0.2">
      <c r="F62">
        <v>415</v>
      </c>
    </row>
    <row r="63" spans="6:6" x14ac:dyDescent="0.2">
      <c r="F63">
        <v>1120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8:AB61"/>
  <sheetViews>
    <sheetView topLeftCell="A6" workbookViewId="0">
      <selection activeCell="AC13" sqref="AC13"/>
    </sheetView>
  </sheetViews>
  <sheetFormatPr baseColWidth="10" defaultColWidth="8.83203125" defaultRowHeight="16" x14ac:dyDescent="0.2"/>
  <sheetData>
    <row r="48" spans="3:4" x14ac:dyDescent="0.2">
      <c r="C48">
        <v>100</v>
      </c>
      <c r="D48">
        <v>15</v>
      </c>
    </row>
    <row r="49" spans="3:28" x14ac:dyDescent="0.2">
      <c r="C49">
        <v>200</v>
      </c>
      <c r="D49">
        <v>27</v>
      </c>
      <c r="L49" t="s">
        <v>95</v>
      </c>
    </row>
    <row r="50" spans="3:28" x14ac:dyDescent="0.2">
      <c r="C50">
        <v>300</v>
      </c>
      <c r="D50">
        <v>39</v>
      </c>
    </row>
    <row r="52" spans="3:28" x14ac:dyDescent="0.2">
      <c r="Z52">
        <v>0.09</v>
      </c>
      <c r="AA52">
        <v>0.15</v>
      </c>
      <c r="AB52">
        <v>0.2</v>
      </c>
    </row>
    <row r="55" spans="3:28" x14ac:dyDescent="0.2">
      <c r="X55">
        <v>18</v>
      </c>
      <c r="Y55">
        <v>300</v>
      </c>
      <c r="Z55">
        <f t="shared" ref="Z55:AB61" si="0">$Y55*Z$52</f>
        <v>27</v>
      </c>
      <c r="AA55">
        <f t="shared" si="0"/>
        <v>45</v>
      </c>
      <c r="AB55">
        <f t="shared" si="0"/>
        <v>60</v>
      </c>
    </row>
    <row r="56" spans="3:28" x14ac:dyDescent="0.2">
      <c r="X56">
        <v>18</v>
      </c>
    </row>
    <row r="57" spans="3:28" x14ac:dyDescent="0.2">
      <c r="X57">
        <v>18</v>
      </c>
      <c r="Y57">
        <v>600</v>
      </c>
      <c r="Z57">
        <f t="shared" si="0"/>
        <v>54</v>
      </c>
      <c r="AA57">
        <f t="shared" si="0"/>
        <v>90</v>
      </c>
      <c r="AB57">
        <f t="shared" si="0"/>
        <v>120</v>
      </c>
    </row>
    <row r="58" spans="3:28" x14ac:dyDescent="0.2">
      <c r="X58">
        <v>18</v>
      </c>
    </row>
    <row r="59" spans="3:28" x14ac:dyDescent="0.2">
      <c r="X59">
        <v>18</v>
      </c>
      <c r="Y59">
        <v>2400</v>
      </c>
      <c r="Z59">
        <f t="shared" si="0"/>
        <v>216</v>
      </c>
      <c r="AA59">
        <f t="shared" si="0"/>
        <v>360</v>
      </c>
      <c r="AB59">
        <f t="shared" si="0"/>
        <v>480</v>
      </c>
    </row>
    <row r="60" spans="3:28" x14ac:dyDescent="0.2">
      <c r="X60">
        <v>18</v>
      </c>
      <c r="Y60">
        <v>900</v>
      </c>
      <c r="Z60">
        <f t="shared" si="0"/>
        <v>81</v>
      </c>
      <c r="AA60">
        <f t="shared" si="0"/>
        <v>135</v>
      </c>
      <c r="AB60">
        <f t="shared" si="0"/>
        <v>180</v>
      </c>
    </row>
    <row r="61" spans="3:28" x14ac:dyDescent="0.2">
      <c r="X61">
        <v>18</v>
      </c>
      <c r="Y61">
        <v>1200</v>
      </c>
      <c r="Z61">
        <f t="shared" si="0"/>
        <v>108</v>
      </c>
      <c r="AA61">
        <f t="shared" si="0"/>
        <v>180</v>
      </c>
      <c r="AB61">
        <f t="shared" si="0"/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channels</vt:lpstr>
      <vt:lpstr>total av</vt:lpstr>
      <vt:lpstr>Width and Depths</vt:lpstr>
      <vt:lpstr>histogram</vt:lpstr>
      <vt:lpstr>sims</vt:lpstr>
      <vt:lpstr>wavelength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2019-06-04T00:29:56Z</dcterms:created>
  <dcterms:modified xsi:type="dcterms:W3CDTF">2019-10-07T01:11:49Z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