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ailin_scaglione_accenture_com/Documents/Desktop/Ailín/"/>
    </mc:Choice>
  </mc:AlternateContent>
  <xr:revisionPtr revIDLastSave="52" documentId="8_{914CA760-68BF-49A8-A380-AC9D4AD7B819}" xr6:coauthVersionLast="47" xr6:coauthVersionMax="47" xr10:uidLastSave="{1B919825-C48C-4E41-845D-FD97EDAD1C56}"/>
  <bookViews>
    <workbookView xWindow="-110" yWindow="-110" windowWidth="19420" windowHeight="10300" activeTab="1" xr2:uid="{DB883619-B61C-47B5-8B87-C06446DE84DB}"/>
  </bookViews>
  <sheets>
    <sheet name="Assumptions" sheetId="1" r:id="rId1"/>
    <sheet name="Financials" sheetId="2" r:id="rId2"/>
    <sheet name="Graph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F6" i="2"/>
  <c r="E6" i="2"/>
  <c r="D6" i="2"/>
  <c r="C6" i="2"/>
  <c r="B6" i="2"/>
  <c r="G20" i="2"/>
  <c r="F20" i="2"/>
  <c r="E20" i="2"/>
  <c r="D20" i="2"/>
  <c r="C20" i="2"/>
  <c r="B20" i="2"/>
  <c r="B19" i="2"/>
  <c r="B18" i="2"/>
  <c r="B12" i="2"/>
  <c r="G8" i="1"/>
  <c r="B9" i="1"/>
  <c r="A1" i="3"/>
  <c r="B9" i="2"/>
  <c r="D27" i="1"/>
  <c r="E27" i="1" s="1"/>
  <c r="F27" i="1" s="1"/>
  <c r="G27" i="1" s="1"/>
  <c r="C27" i="1"/>
  <c r="B19" i="1"/>
  <c r="B21" i="1" s="1"/>
  <c r="B8" i="2" s="1"/>
  <c r="C8" i="2" s="1"/>
  <c r="B7" i="1"/>
  <c r="C7" i="1" s="1"/>
  <c r="D7" i="1" s="1"/>
  <c r="E7" i="1" s="1"/>
  <c r="C13" i="1"/>
  <c r="A1" i="2"/>
  <c r="B7" i="2"/>
  <c r="C8" i="1"/>
  <c r="C6" i="1"/>
  <c r="D6" i="1" s="1"/>
  <c r="E6" i="1" s="1"/>
  <c r="F6" i="1" s="1"/>
  <c r="G6" i="1" s="1"/>
  <c r="C7" i="2" l="1"/>
  <c r="C9" i="1"/>
  <c r="D13" i="1"/>
  <c r="D8" i="2"/>
  <c r="F7" i="1"/>
  <c r="G7" i="1" s="1"/>
  <c r="B5" i="2"/>
  <c r="C5" i="2"/>
  <c r="C9" i="2" s="1"/>
  <c r="D8" i="1"/>
  <c r="E13" i="1" l="1"/>
  <c r="B10" i="2"/>
  <c r="E8" i="2"/>
  <c r="C10" i="2"/>
  <c r="C11" i="2" s="1"/>
  <c r="D9" i="1"/>
  <c r="D5" i="2" s="1"/>
  <c r="E8" i="1"/>
  <c r="F13" i="1" l="1"/>
  <c r="E7" i="2"/>
  <c r="D7" i="2"/>
  <c r="D9" i="2" s="1"/>
  <c r="F8" i="2"/>
  <c r="B11" i="2"/>
  <c r="B13" i="2" s="1"/>
  <c r="C12" i="2"/>
  <c r="C13" i="2" s="1"/>
  <c r="D10" i="2"/>
  <c r="E9" i="1"/>
  <c r="E5" i="2" s="1"/>
  <c r="E9" i="2" s="1"/>
  <c r="F8" i="1"/>
  <c r="G13" i="1" l="1"/>
  <c r="D11" i="2"/>
  <c r="H8" i="2"/>
  <c r="B14" i="2"/>
  <c r="C18" i="2"/>
  <c r="C19" i="2" s="1"/>
  <c r="C14" i="2"/>
  <c r="D12" i="2"/>
  <c r="D13" i="2" s="1"/>
  <c r="E10" i="2"/>
  <c r="E11" i="2" s="1"/>
  <c r="G9" i="1"/>
  <c r="G5" i="2" s="1"/>
  <c r="G10" i="2" s="1"/>
  <c r="H20" i="2" s="1"/>
  <c r="H21" i="2" s="1"/>
  <c r="F9" i="1"/>
  <c r="F5" i="2" s="1"/>
  <c r="F7" i="2" l="1"/>
  <c r="G7" i="2"/>
  <c r="E12" i="2"/>
  <c r="E13" i="2" s="1"/>
  <c r="D18" i="2"/>
  <c r="D19" i="2" s="1"/>
  <c r="D14" i="2"/>
  <c r="F10" i="2"/>
  <c r="H5" i="2"/>
  <c r="G9" i="2" l="1"/>
  <c r="H6" i="2"/>
  <c r="H7" i="2"/>
  <c r="F11" i="2"/>
  <c r="F12" i="2" s="1"/>
  <c r="F13" i="2" s="1"/>
  <c r="F18" i="2" s="1"/>
  <c r="F19" i="2" s="1"/>
  <c r="G11" i="2"/>
  <c r="G12" i="2" s="1"/>
  <c r="G13" i="2" s="1"/>
  <c r="H9" i="2"/>
  <c r="F9" i="2"/>
  <c r="E18" i="2"/>
  <c r="E19" i="2" s="1"/>
  <c r="E14" i="2"/>
  <c r="H10" i="2"/>
  <c r="H11" i="2" l="1"/>
  <c r="H12" i="2" s="1"/>
  <c r="H13" i="2" s="1"/>
  <c r="H14" i="2" s="1"/>
  <c r="G18" i="2"/>
  <c r="G19" i="2" s="1"/>
  <c r="H19" i="2" s="1"/>
  <c r="G14" i="2"/>
  <c r="F14" i="2"/>
  <c r="H18" i="2" l="1"/>
</calcChain>
</file>

<file path=xl/sharedStrings.xml><?xml version="1.0" encoding="utf-8"?>
<sst xmlns="http://schemas.openxmlformats.org/spreadsheetml/2006/main" count="62" uniqueCount="33">
  <si>
    <t>Apex Electronics</t>
  </si>
  <si>
    <t>Price</t>
  </si>
  <si>
    <t>CY1</t>
  </si>
  <si>
    <t>CY2</t>
  </si>
  <si>
    <t>CY3</t>
  </si>
  <si>
    <t>CY4</t>
  </si>
  <si>
    <t>CY5</t>
  </si>
  <si>
    <t>CY6</t>
  </si>
  <si>
    <t>TAM Units</t>
  </si>
  <si>
    <t>Volume Market Share</t>
  </si>
  <si>
    <t>Units to be sold</t>
  </si>
  <si>
    <t>Revenue</t>
  </si>
  <si>
    <t>Costs</t>
  </si>
  <si>
    <t>Manufactured Plant</t>
  </si>
  <si>
    <t>Marketing and Product Development</t>
  </si>
  <si>
    <t>Distribution and Logistics</t>
  </si>
  <si>
    <t>Start up Costs</t>
  </si>
  <si>
    <t>Total</t>
  </si>
  <si>
    <t>Amortization</t>
  </si>
  <si>
    <t>Tax Rate</t>
  </si>
  <si>
    <t>Taxes</t>
  </si>
  <si>
    <t>Home Devices</t>
  </si>
  <si>
    <t>Operating Expenses</t>
  </si>
  <si>
    <t>Expenses</t>
  </si>
  <si>
    <t>Net Income</t>
  </si>
  <si>
    <t>Financials</t>
  </si>
  <si>
    <t>Net Income %</t>
  </si>
  <si>
    <t>Gross profit</t>
  </si>
  <si>
    <t>Operating income</t>
  </si>
  <si>
    <t>Cash Flow</t>
  </si>
  <si>
    <t>Present Value</t>
  </si>
  <si>
    <t>Present Start up Cost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</si>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</sst>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164" fontId="0" fillId="0" borderId="0" xfId="1" applyNumberFormat="1" applyFont="1"/>
    <xf numFmtId="0" fontId="4" fillId="0" borderId="0" xfId="0" applyFont="1"/>
    <xf numFmtId="164" fontId="4" fillId="0" borderId="0" xfId="0" applyNumberFormat="1" applyFont="1"/>
    <xf numFmtId="0" fontId="6" fillId="0" borderId="0" xfId="0" applyFont="1"/>
    <xf numFmtId="0" fontId="2" fillId="0" borderId="0" xfId="0" applyFont="1"/>
    <xf numFmtId="0" fontId="6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  <xf numFmtId="0" fontId="2" fillId="2" borderId="1" xfId="0" applyFont="1" applyFill="1" applyBorder="1"/>
    <xf numFmtId="0" fontId="6" fillId="2" borderId="1" xfId="0" applyFon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164" fontId="2" fillId="3" borderId="1" xfId="0" applyNumberFormat="1" applyFont="1" applyFill="1" applyBorder="1"/>
    <xf numFmtId="166" fontId="2" fillId="0" borderId="1" xfId="3" applyNumberFormat="1" applyFont="1" applyBorder="1"/>
    <xf numFmtId="164" fontId="2" fillId="2" borderId="1" xfId="1" applyNumberFormat="1" applyFont="1" applyFill="1" applyBorder="1"/>
    <xf numFmtId="164" fontId="2" fillId="0" borderId="1" xfId="0" applyNumberFormat="1" applyFont="1" applyBorder="1"/>
    <xf numFmtId="164" fontId="2" fillId="0" borderId="1" xfId="1" applyNumberFormat="1" applyFont="1" applyBorder="1"/>
    <xf numFmtId="6" fontId="0" fillId="0" borderId="1" xfId="0" applyNumberFormat="1" applyBorder="1"/>
    <xf numFmtId="0" fontId="2" fillId="0" borderId="2" xfId="0" applyFont="1" applyBorder="1"/>
    <xf numFmtId="0" fontId="0" fillId="0" borderId="2" xfId="0" applyBorder="1"/>
    <xf numFmtId="0" fontId="6" fillId="0" borderId="2" xfId="0" applyFont="1" applyBorder="1"/>
    <xf numFmtId="0" fontId="4" fillId="0" borderId="2" xfId="0" applyFont="1" applyBorder="1"/>
    <xf numFmtId="0" fontId="4" fillId="0" borderId="1" xfId="0" applyFont="1" applyBorder="1"/>
    <xf numFmtId="164" fontId="4" fillId="0" borderId="1" xfId="1" applyNumberFormat="1" applyFont="1" applyBorder="1"/>
    <xf numFmtId="44" fontId="4" fillId="0" borderId="1" xfId="2" applyFont="1" applyBorder="1"/>
    <xf numFmtId="9" fontId="5" fillId="0" borderId="1" xfId="3" applyFont="1" applyBorder="1"/>
    <xf numFmtId="164" fontId="4" fillId="0" borderId="1" xfId="0" applyNumberFormat="1" applyFont="1" applyBorder="1"/>
    <xf numFmtId="165" fontId="4" fillId="0" borderId="1" xfId="2" applyNumberFormat="1" applyFont="1" applyBorder="1"/>
    <xf numFmtId="44" fontId="4" fillId="0" borderId="1" xfId="0" applyNumberFormat="1" applyFont="1" applyBorder="1"/>
    <xf numFmtId="165" fontId="6" fillId="0" borderId="1" xfId="0" applyNumberFormat="1" applyFont="1" applyBorder="1"/>
    <xf numFmtId="9" fontId="4" fillId="0" borderId="1" xfId="0" applyNumberFormat="1" applyFont="1" applyBorder="1"/>
    <xf numFmtId="43" fontId="0" fillId="0" borderId="0" xfId="0" applyNumberFormat="1"/>
    <xf numFmtId="166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</a:t>
            </a:r>
            <a:r>
              <a:rPr lang="en-US" baseline="0"/>
              <a:t> Profit and Net Income over years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Financials!$A$9</c:f>
              <c:strCache>
                <c:ptCount val="1"/>
                <c:pt idx="0">
                  <c:v>Gross profit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Financials!$B$4:$G$4</c:f>
              <c:strCache>
                <c:ptCount val="6"/>
                <c:pt idx="0">
                  <c:v>CY1</c:v>
                </c:pt>
                <c:pt idx="1">
                  <c:v>CY2</c:v>
                </c:pt>
                <c:pt idx="2">
                  <c:v>CY3</c:v>
                </c:pt>
                <c:pt idx="3">
                  <c:v>CY4</c:v>
                </c:pt>
                <c:pt idx="4">
                  <c:v>CY5</c:v>
                </c:pt>
                <c:pt idx="5">
                  <c:v>CY6</c:v>
                </c:pt>
              </c:strCache>
            </c:strRef>
          </c:cat>
          <c:val>
            <c:numRef>
              <c:f>Financials!$B$9:$G$9</c:f>
              <c:numCache>
                <c:formatCode>_(* #,##0_);_(* \(#,##0\);_(* "-"??_);_(@_)</c:formatCode>
                <c:ptCount val="6"/>
                <c:pt idx="0">
                  <c:v>1500000</c:v>
                </c:pt>
                <c:pt idx="1">
                  <c:v>45937500</c:v>
                </c:pt>
                <c:pt idx="2">
                  <c:v>98275078.125</c:v>
                </c:pt>
                <c:pt idx="3">
                  <c:v>159594030.46874988</c:v>
                </c:pt>
                <c:pt idx="4">
                  <c:v>239543090.42285156</c:v>
                </c:pt>
                <c:pt idx="5">
                  <c:v>283533840.04511416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F-40CB-86AA-CDF659BB17B0}"/>
            </c:ext>
          </c:extLst>
        </c:ser>
        <c:ser>
          <c:idx val="8"/>
          <c:order val="8"/>
          <c:tx>
            <c:strRef>
              <c:f>Financials!$A$13</c:f>
              <c:strCache>
                <c:ptCount val="1"/>
                <c:pt idx="0">
                  <c:v> Net Income 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Financials!$B$4:$G$4</c:f>
              <c:strCache>
                <c:ptCount val="6"/>
                <c:pt idx="0">
                  <c:v>CY1</c:v>
                </c:pt>
                <c:pt idx="1">
                  <c:v>CY2</c:v>
                </c:pt>
                <c:pt idx="2">
                  <c:v>CY3</c:v>
                </c:pt>
                <c:pt idx="3">
                  <c:v>CY4</c:v>
                </c:pt>
                <c:pt idx="4">
                  <c:v>CY5</c:v>
                </c:pt>
                <c:pt idx="5">
                  <c:v>CY6</c:v>
                </c:pt>
              </c:strCache>
            </c:strRef>
          </c:cat>
          <c:val>
            <c:numRef>
              <c:f>Financials!$B$13:$G$13</c:f>
              <c:numCache>
                <c:formatCode>_(* #,##0_);_(* \(#,##0\);_(* "-"??_);_(@_)</c:formatCode>
                <c:ptCount val="6"/>
                <c:pt idx="0">
                  <c:v>-19125000</c:v>
                </c:pt>
                <c:pt idx="1">
                  <c:v>-7334999.9999999944</c:v>
                </c:pt>
                <c:pt idx="2">
                  <c:v>9254271.0937500112</c:v>
                </c:pt>
                <c:pt idx="3">
                  <c:v>31678209.140624944</c:v>
                </c:pt>
                <c:pt idx="4">
                  <c:v>55662927.1268555</c:v>
                </c:pt>
                <c:pt idx="5">
                  <c:v>85060152.013534248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EF-40CB-86AA-CDF659BB1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0480608"/>
        <c:axId val="19017027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Financials!$A$5</c15:sqref>
                        </c15:formulaRef>
                      </c:ext>
                    </c:extLst>
                    <c:strCache>
                      <c:ptCount val="1"/>
                      <c:pt idx="0">
                        <c:v>Revenue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Financials!$B$4:$G$4</c15:sqref>
                        </c15:formulaRef>
                      </c:ext>
                    </c:extLst>
                    <c:strCache>
                      <c:ptCount val="6"/>
                      <c:pt idx="0">
                        <c:v>CY1</c:v>
                      </c:pt>
                      <c:pt idx="1">
                        <c:v>CY2</c:v>
                      </c:pt>
                      <c:pt idx="2">
                        <c:v>CY3</c:v>
                      </c:pt>
                      <c:pt idx="3">
                        <c:v>CY4</c:v>
                      </c:pt>
                      <c:pt idx="4">
                        <c:v>CY5</c:v>
                      </c:pt>
                      <c:pt idx="5">
                        <c:v>CY6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Financials!$B$5:$G$5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6"/>
                      <c:pt idx="0">
                        <c:v>150000000</c:v>
                      </c:pt>
                      <c:pt idx="1">
                        <c:v>327750000</c:v>
                      </c:pt>
                      <c:pt idx="2">
                        <c:v>537100312.5</c:v>
                      </c:pt>
                      <c:pt idx="3">
                        <c:v>782376121.87499988</c:v>
                      </c:pt>
                      <c:pt idx="4">
                        <c:v>1102172361.6914063</c:v>
                      </c:pt>
                      <c:pt idx="5">
                        <c:v>1134135360.1804569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3EF-40CB-86AA-CDF659BB17B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Financials!$A$6</c15:sqref>
                        </c15:formulaRef>
                      </c:ext>
                    </c:extLst>
                    <c:strCache>
                      <c:ptCount val="1"/>
                      <c:pt idx="0">
                        <c:v>Costs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Financials!$B$4:$G$4</c15:sqref>
                        </c15:formulaRef>
                      </c:ext>
                    </c:extLst>
                    <c:strCache>
                      <c:ptCount val="6"/>
                      <c:pt idx="0">
                        <c:v>CY1</c:v>
                      </c:pt>
                      <c:pt idx="1">
                        <c:v>CY2</c:v>
                      </c:pt>
                      <c:pt idx="2">
                        <c:v>CY3</c:v>
                      </c:pt>
                      <c:pt idx="3">
                        <c:v>CY4</c:v>
                      </c:pt>
                      <c:pt idx="4">
                        <c:v>CY5</c:v>
                      </c:pt>
                      <c:pt idx="5">
                        <c:v>CY6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Financials!$B$6:$G$6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6"/>
                      <c:pt idx="0">
                        <c:v>169125000</c:v>
                      </c:pt>
                      <c:pt idx="1">
                        <c:v>335085000</c:v>
                      </c:pt>
                      <c:pt idx="2">
                        <c:v>527846041.40625</c:v>
                      </c:pt>
                      <c:pt idx="3">
                        <c:v>750697912.734375</c:v>
                      </c:pt>
                      <c:pt idx="4">
                        <c:v>1046509434.5645508</c:v>
                      </c:pt>
                      <c:pt idx="5">
                        <c:v>1049075208.1669226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3EF-40CB-86AA-CDF659BB17B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Financials!$A$7</c15:sqref>
                        </c15:formulaRef>
                      </c:ext>
                    </c:extLst>
                    <c:strCache>
                      <c:ptCount val="1"/>
                      <c:pt idx="0">
                        <c:v>Home Devices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Financials!$B$4:$G$4</c15:sqref>
                        </c15:formulaRef>
                      </c:ext>
                    </c:extLst>
                    <c:strCache>
                      <c:ptCount val="6"/>
                      <c:pt idx="0">
                        <c:v>CY1</c:v>
                      </c:pt>
                      <c:pt idx="1">
                        <c:v>CY2</c:v>
                      </c:pt>
                      <c:pt idx="2">
                        <c:v>CY3</c:v>
                      </c:pt>
                      <c:pt idx="3">
                        <c:v>CY4</c:v>
                      </c:pt>
                      <c:pt idx="4">
                        <c:v>CY5</c:v>
                      </c:pt>
                      <c:pt idx="5">
                        <c:v>CY6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Financials!$B$7:$G$7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6"/>
                      <c:pt idx="0">
                        <c:v>112500000</c:v>
                      </c:pt>
                      <c:pt idx="1">
                        <c:v>245812500</c:v>
                      </c:pt>
                      <c:pt idx="2">
                        <c:v>402825234.375</c:v>
                      </c:pt>
                      <c:pt idx="3">
                        <c:v>586782091.40625</c:v>
                      </c:pt>
                      <c:pt idx="4">
                        <c:v>826629271.26855469</c:v>
                      </c:pt>
                      <c:pt idx="5">
                        <c:v>850601520.13534272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3EF-40CB-86AA-CDF659BB17B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Financials!$A$8</c15:sqref>
                        </c15:formulaRef>
                      </c:ext>
                    </c:extLst>
                    <c:strCache>
                      <c:ptCount val="1"/>
                      <c:pt idx="0">
                        <c:v> Amortization 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Financials!$B$4:$G$4</c15:sqref>
                        </c15:formulaRef>
                      </c:ext>
                    </c:extLst>
                    <c:strCache>
                      <c:ptCount val="6"/>
                      <c:pt idx="0">
                        <c:v>CY1</c:v>
                      </c:pt>
                      <c:pt idx="1">
                        <c:v>CY2</c:v>
                      </c:pt>
                      <c:pt idx="2">
                        <c:v>CY3</c:v>
                      </c:pt>
                      <c:pt idx="3">
                        <c:v>CY4</c:v>
                      </c:pt>
                      <c:pt idx="4">
                        <c:v>CY5</c:v>
                      </c:pt>
                      <c:pt idx="5">
                        <c:v>CY6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Financials!$B$8:$G$8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6"/>
                      <c:pt idx="0">
                        <c:v>36000000</c:v>
                      </c:pt>
                      <c:pt idx="1">
                        <c:v>36000000</c:v>
                      </c:pt>
                      <c:pt idx="2">
                        <c:v>36000000</c:v>
                      </c:pt>
                      <c:pt idx="3">
                        <c:v>36000000</c:v>
                      </c:pt>
                      <c:pt idx="4">
                        <c:v>36000000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3EF-40CB-86AA-CDF659BB17B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Financials!$A$10</c15:sqref>
                        </c15:formulaRef>
                      </c:ext>
                    </c:extLst>
                    <c:strCache>
                      <c:ptCount val="1"/>
                      <c:pt idx="0">
                        <c:v> Expenses 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Financials!$B$4:$G$4</c15:sqref>
                        </c15:formulaRef>
                      </c:ext>
                    </c:extLst>
                    <c:strCache>
                      <c:ptCount val="6"/>
                      <c:pt idx="0">
                        <c:v>CY1</c:v>
                      </c:pt>
                      <c:pt idx="1">
                        <c:v>CY2</c:v>
                      </c:pt>
                      <c:pt idx="2">
                        <c:v>CY3</c:v>
                      </c:pt>
                      <c:pt idx="3">
                        <c:v>CY4</c:v>
                      </c:pt>
                      <c:pt idx="4">
                        <c:v>CY5</c:v>
                      </c:pt>
                      <c:pt idx="5">
                        <c:v>CY6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Financials!$B$10:$G$10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6"/>
                      <c:pt idx="0">
                        <c:v>27000000</c:v>
                      </c:pt>
                      <c:pt idx="1">
                        <c:v>55717499.999999993</c:v>
                      </c:pt>
                      <c:pt idx="2">
                        <c:v>85936049.999999985</c:v>
                      </c:pt>
                      <c:pt idx="3">
                        <c:v>117356418.28124996</c:v>
                      </c:pt>
                      <c:pt idx="4">
                        <c:v>165325854.2537109</c:v>
                      </c:pt>
                      <c:pt idx="5">
                        <c:v>170120304.0270685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3EF-40CB-86AA-CDF659BB17B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Financials!$A$11</c15:sqref>
                        </c15:formulaRef>
                      </c:ext>
                    </c:extLst>
                    <c:strCache>
                      <c:ptCount val="1"/>
                      <c:pt idx="0">
                        <c:v>Operating income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Financials!$B$4:$G$4</c15:sqref>
                        </c15:formulaRef>
                      </c:ext>
                    </c:extLst>
                    <c:strCache>
                      <c:ptCount val="6"/>
                      <c:pt idx="0">
                        <c:v>CY1</c:v>
                      </c:pt>
                      <c:pt idx="1">
                        <c:v>CY2</c:v>
                      </c:pt>
                      <c:pt idx="2">
                        <c:v>CY3</c:v>
                      </c:pt>
                      <c:pt idx="3">
                        <c:v>CY4</c:v>
                      </c:pt>
                      <c:pt idx="4">
                        <c:v>CY5</c:v>
                      </c:pt>
                      <c:pt idx="5">
                        <c:v>CY6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Financials!$B$11:$G$11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6"/>
                      <c:pt idx="0">
                        <c:v>-25500000</c:v>
                      </c:pt>
                      <c:pt idx="1">
                        <c:v>-9779999.9999999925</c:v>
                      </c:pt>
                      <c:pt idx="2">
                        <c:v>12339028.125000015</c:v>
                      </c:pt>
                      <c:pt idx="3">
                        <c:v>42237612.187499925</c:v>
                      </c:pt>
                      <c:pt idx="4">
                        <c:v>74217236.169140667</c:v>
                      </c:pt>
                      <c:pt idx="5">
                        <c:v>113413536.01804566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3EF-40CB-86AA-CDF659BB17B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Financials!$A$12</c15:sqref>
                        </c15:formulaRef>
                      </c:ext>
                    </c:extLst>
                    <c:strCache>
                      <c:ptCount val="1"/>
                      <c:pt idx="0">
                        <c:v> Taxes 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Financials!$B$4:$G$4</c15:sqref>
                        </c15:formulaRef>
                      </c:ext>
                    </c:extLst>
                    <c:strCache>
                      <c:ptCount val="6"/>
                      <c:pt idx="0">
                        <c:v>CY1</c:v>
                      </c:pt>
                      <c:pt idx="1">
                        <c:v>CY2</c:v>
                      </c:pt>
                      <c:pt idx="2">
                        <c:v>CY3</c:v>
                      </c:pt>
                      <c:pt idx="3">
                        <c:v>CY4</c:v>
                      </c:pt>
                      <c:pt idx="4">
                        <c:v>CY5</c:v>
                      </c:pt>
                      <c:pt idx="5">
                        <c:v>CY6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Financials!$B$12:$G$12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6"/>
                      <c:pt idx="0">
                        <c:v>-6375000</c:v>
                      </c:pt>
                      <c:pt idx="1">
                        <c:v>-2444999.9999999981</c:v>
                      </c:pt>
                      <c:pt idx="2">
                        <c:v>3084757.0312500037</c:v>
                      </c:pt>
                      <c:pt idx="3">
                        <c:v>10559403.046874981</c:v>
                      </c:pt>
                      <c:pt idx="4">
                        <c:v>18554309.042285167</c:v>
                      </c:pt>
                      <c:pt idx="5">
                        <c:v>28353384.004511416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3EF-40CB-86AA-CDF659BB17B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Financials!$A$14</c15:sqref>
                        </c15:formulaRef>
                      </c:ext>
                    </c:extLst>
                    <c:strCache>
                      <c:ptCount val="1"/>
                      <c:pt idx="0">
                        <c:v> Net Income % 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Financials!$B$4:$G$4</c15:sqref>
                        </c15:formulaRef>
                      </c:ext>
                    </c:extLst>
                    <c:strCache>
                      <c:ptCount val="6"/>
                      <c:pt idx="0">
                        <c:v>CY1</c:v>
                      </c:pt>
                      <c:pt idx="1">
                        <c:v>CY2</c:v>
                      </c:pt>
                      <c:pt idx="2">
                        <c:v>CY3</c:v>
                      </c:pt>
                      <c:pt idx="3">
                        <c:v>CY4</c:v>
                      </c:pt>
                      <c:pt idx="4">
                        <c:v>CY5</c:v>
                      </c:pt>
                      <c:pt idx="5">
                        <c:v>CY6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Financials!$B$14:$G$14</c15:sqref>
                        </c15:formulaRef>
                      </c:ext>
                    </c:extLst>
                    <c:numCache>
                      <c:formatCode>0.0%</c:formatCode>
                      <c:ptCount val="6"/>
                      <c:pt idx="0">
                        <c:v>-0.1275</c:v>
                      </c:pt>
                      <c:pt idx="1">
                        <c:v>-2.2379862700228816E-2</c:v>
                      </c:pt>
                      <c:pt idx="2">
                        <c:v>1.7230060899936658E-2</c:v>
                      </c:pt>
                      <c:pt idx="3">
                        <c:v>4.0489744324899227E-2</c:v>
                      </c:pt>
                      <c:pt idx="4">
                        <c:v>5.0502924099307428E-2</c:v>
                      </c:pt>
                      <c:pt idx="5">
                        <c:v>7.4999999999999983E-2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3EF-40CB-86AA-CDF659BB17B0}"/>
                  </c:ext>
                </c:extLst>
              </c15:ser>
            </c15:filteredLineSeries>
          </c:ext>
        </c:extLst>
      </c:lineChart>
      <c:catAx>
        <c:axId val="190048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702736"/>
        <c:crosses val="autoZero"/>
        <c:auto val="1"/>
        <c:lblAlgn val="ctr"/>
        <c:lblOffset val="100"/>
        <c:noMultiLvlLbl val="0"/>
      </c:catAx>
      <c:valAx>
        <c:axId val="190170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480608"/>
        <c:crosses val="autoZero"/>
        <c:crossBetween val="between"/>
      </c:valAx>
      <c:spPr>
        <a:noFill/>
        <a:ln>
          <a:solidFill>
            <a:schemeClr val="accent6">
              <a:lumMod val="75000"/>
              <a:alpha val="9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dbl" algn="ctr">
      <a:solidFill>
        <a:schemeClr val="accent6">
          <a:lumMod val="50000"/>
          <a:alpha val="99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</a:t>
            </a:r>
            <a:r>
              <a:rPr lang="en-US" baseline="0"/>
              <a:t> Flow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Financials!$A$18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Financials!$B$17:$H$17</c:f>
              <c:strCache>
                <c:ptCount val="7"/>
                <c:pt idx="0">
                  <c:v>CY1</c:v>
                </c:pt>
                <c:pt idx="1">
                  <c:v>CY2</c:v>
                </c:pt>
                <c:pt idx="2">
                  <c:v>CY3</c:v>
                </c:pt>
                <c:pt idx="3">
                  <c:v>CY4</c:v>
                </c:pt>
                <c:pt idx="4">
                  <c:v>CY5</c:v>
                </c:pt>
                <c:pt idx="5">
                  <c:v>CY6</c:v>
                </c:pt>
                <c:pt idx="6">
                  <c:v>Total</c:v>
                </c:pt>
              </c:strCache>
            </c:strRef>
          </c:cat>
          <c:val>
            <c:numRef>
              <c:f>Financials!$B$18:$H$18</c:f>
              <c:numCache>
                <c:formatCode>_(* #,##0_);_(* \(#,##0\);_(* "-"??_);_(@_)</c:formatCode>
                <c:ptCount val="7"/>
                <c:pt idx="0">
                  <c:v>16875000</c:v>
                </c:pt>
                <c:pt idx="1">
                  <c:v>28665000.000000007</c:v>
                </c:pt>
                <c:pt idx="2">
                  <c:v>45254271.093750015</c:v>
                </c:pt>
                <c:pt idx="3">
                  <c:v>67678209.14062494</c:v>
                </c:pt>
                <c:pt idx="4">
                  <c:v>91662927.126855493</c:v>
                </c:pt>
                <c:pt idx="5">
                  <c:v>85060152.013534248</c:v>
                </c:pt>
                <c:pt idx="6">
                  <c:v>335195559.37476468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D-4EF6-8FD6-9D2A7121659A}"/>
            </c:ext>
          </c:extLst>
        </c:ser>
        <c:ser>
          <c:idx val="1"/>
          <c:order val="1"/>
          <c:tx>
            <c:strRef>
              <c:f>Financials!$A$19</c:f>
              <c:strCache>
                <c:ptCount val="1"/>
                <c:pt idx="0">
                  <c:v>Present 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Financials!$B$17:$H$17</c:f>
              <c:strCache>
                <c:ptCount val="7"/>
                <c:pt idx="0">
                  <c:v>CY1</c:v>
                </c:pt>
                <c:pt idx="1">
                  <c:v>CY2</c:v>
                </c:pt>
                <c:pt idx="2">
                  <c:v>CY3</c:v>
                </c:pt>
                <c:pt idx="3">
                  <c:v>CY4</c:v>
                </c:pt>
                <c:pt idx="4">
                  <c:v>CY5</c:v>
                </c:pt>
                <c:pt idx="5">
                  <c:v>CY6</c:v>
                </c:pt>
                <c:pt idx="6">
                  <c:v>Total</c:v>
                </c:pt>
              </c:strCache>
            </c:strRef>
          </c:cat>
          <c:val>
            <c:numRef>
              <c:f>Financials!$B$19:$H$19</c:f>
              <c:numCache>
                <c:formatCode>"$"#,##0_);[Red]\("$"#,##0\)</c:formatCode>
                <c:ptCount val="7"/>
                <c:pt idx="0">
                  <c:v>15066964.285714284</c:v>
                </c:pt>
                <c:pt idx="1">
                  <c:v>22851562.500000004</c:v>
                </c:pt>
                <c:pt idx="2">
                  <c:v>32211096.293724664</c:v>
                </c:pt>
                <c:pt idx="3">
                  <c:v>43010725.422930241</c:v>
                </c:pt>
                <c:pt idx="4">
                  <c:v>52012006.525554709</c:v>
                </c:pt>
                <c:pt idx="5">
                  <c:v>43094120.182130188</c:v>
                </c:pt>
                <c:pt idx="6" formatCode="_(* #,##0_);_(* \(#,##0\);_(* &quot;-&quot;??_);_(@_)">
                  <c:v>208246475.2100541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D-4EF6-8FD6-9D2A7121659A}"/>
            </c:ext>
          </c:extLst>
        </c:ser>
        <c:ser>
          <c:idx val="2"/>
          <c:order val="2"/>
          <c:tx>
            <c:strRef>
              <c:f>Financials!$A$20</c:f>
              <c:strCache>
                <c:ptCount val="1"/>
                <c:pt idx="0">
                  <c:v>Present Start up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Financials!$B$17:$H$17</c:f>
              <c:strCache>
                <c:ptCount val="7"/>
                <c:pt idx="0">
                  <c:v>CY1</c:v>
                </c:pt>
                <c:pt idx="1">
                  <c:v>CY2</c:v>
                </c:pt>
                <c:pt idx="2">
                  <c:v>CY3</c:v>
                </c:pt>
                <c:pt idx="3">
                  <c:v>CY4</c:v>
                </c:pt>
                <c:pt idx="4">
                  <c:v>CY5</c:v>
                </c:pt>
                <c:pt idx="5">
                  <c:v>CY6</c:v>
                </c:pt>
                <c:pt idx="6">
                  <c:v>Total</c:v>
                </c:pt>
              </c:strCache>
            </c:strRef>
          </c:cat>
          <c:val>
            <c:numRef>
              <c:f>Financials!$B$20:$H$20</c:f>
              <c:numCache>
                <c:formatCode>_(* #,##0_);_(* \(#,##0\);_(* "-"??_);_(@_)</c:formatCode>
                <c:ptCount val="7"/>
                <c:pt idx="0">
                  <c:v>63000000</c:v>
                </c:pt>
                <c:pt idx="1">
                  <c:v>91717500</c:v>
                </c:pt>
                <c:pt idx="2">
                  <c:v>121936049.99999999</c:v>
                </c:pt>
                <c:pt idx="3">
                  <c:v>153356418.28124994</c:v>
                </c:pt>
                <c:pt idx="4">
                  <c:v>201325854.2537109</c:v>
                </c:pt>
                <c:pt idx="5">
                  <c:v>170120304.0270685</c:v>
                </c:pt>
                <c:pt idx="6">
                  <c:v>801456126.56202936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BD-4EF6-8FD6-9D2A71216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504176"/>
        <c:axId val="1763937520"/>
      </c:barChart>
      <c:catAx>
        <c:axId val="7950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937520"/>
        <c:crosses val="autoZero"/>
        <c:auto val="1"/>
        <c:lblAlgn val="ctr"/>
        <c:lblOffset val="100"/>
        <c:noMultiLvlLbl val="0"/>
      </c:catAx>
      <c:valAx>
        <c:axId val="176393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304800</xdr:colOff>
      <xdr:row>17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F54A61-D97F-4AE7-950B-330BF9380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3175</xdr:colOff>
      <xdr:row>3</xdr:row>
      <xdr:rowOff>22225</xdr:rowOff>
    </xdr:from>
    <xdr:to>
      <xdr:col>16</xdr:col>
      <xdr:colOff>307975</xdr:colOff>
      <xdr:row>18</xdr:row>
      <xdr:rowOff>3175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670B66-103A-DA09-C2AC-5EE6D70DF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B05B-5146-4765-A6F8-CA8C15F38F95}">
  <dimension ref="A1:G27"/>
  <sheetViews>
    <sheetView showGridLines="0" workbookViewId="0">
      <selection activeCell="G9" sqref="G9"/>
    </sheetView>
  </sheetViews>
  <sheetFormatPr defaultRowHeight="13" x14ac:dyDescent="0.3"/>
  <cols>
    <col min="1" max="1" width="29.36328125" style="2" bestFit="1" customWidth="1"/>
    <col min="2" max="2" width="14.6328125" style="2" bestFit="1" customWidth="1"/>
    <col min="3" max="7" width="12" style="2" bestFit="1" customWidth="1"/>
    <col min="8" max="16384" width="8.7265625" style="2"/>
  </cols>
  <sheetData>
    <row r="1" spans="1:7" s="23" customFormat="1" x14ac:dyDescent="0.3">
      <c r="A1" s="22" t="s">
        <v>0</v>
      </c>
    </row>
    <row r="2" spans="1:7" x14ac:dyDescent="0.3">
      <c r="A2" s="4"/>
    </row>
    <row r="5" spans="1:7" s="4" customFormat="1" x14ac:dyDescent="0.3">
      <c r="A5" s="6" t="s">
        <v>11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</row>
    <row r="6" spans="1:7" x14ac:dyDescent="0.3">
      <c r="A6" s="24" t="s">
        <v>8</v>
      </c>
      <c r="B6" s="25">
        <v>125000000</v>
      </c>
      <c r="C6" s="25">
        <f>+B6*1.15</f>
        <v>143750000</v>
      </c>
      <c r="D6" s="25">
        <f t="shared" ref="D6:F6" si="0">+C6*1.15</f>
        <v>165312500</v>
      </c>
      <c r="E6" s="25">
        <f t="shared" si="0"/>
        <v>190109375</v>
      </c>
      <c r="F6" s="25">
        <f t="shared" si="0"/>
        <v>218625781.24999997</v>
      </c>
      <c r="G6" s="25">
        <f>+F6*1.05</f>
        <v>229557070.31249997</v>
      </c>
    </row>
    <row r="7" spans="1:7" x14ac:dyDescent="0.3">
      <c r="A7" s="24" t="s">
        <v>1</v>
      </c>
      <c r="B7" s="26">
        <f>120</f>
        <v>120</v>
      </c>
      <c r="C7" s="26">
        <f>+B7-B7*5%</f>
        <v>114</v>
      </c>
      <c r="D7" s="26">
        <f t="shared" ref="D7" si="1">+C7-C7*5%</f>
        <v>108.3</v>
      </c>
      <c r="E7" s="26">
        <f>+D7-D7*5%</f>
        <v>102.88499999999999</v>
      </c>
      <c r="F7" s="26">
        <f>+E7-E7*2%</f>
        <v>100.82729999999999</v>
      </c>
      <c r="G7" s="26">
        <f>+F7-F7*2%</f>
        <v>98.810753999999989</v>
      </c>
    </row>
    <row r="8" spans="1:7" x14ac:dyDescent="0.3">
      <c r="A8" s="24" t="s">
        <v>9</v>
      </c>
      <c r="B8" s="27">
        <v>0.01</v>
      </c>
      <c r="C8" s="27">
        <f>+B8+0.01</f>
        <v>0.02</v>
      </c>
      <c r="D8" s="27">
        <f t="shared" ref="D8:F8" si="2">+C8+0.01</f>
        <v>0.03</v>
      </c>
      <c r="E8" s="27">
        <f t="shared" si="2"/>
        <v>0.04</v>
      </c>
      <c r="F8" s="27">
        <f t="shared" si="2"/>
        <v>0.05</v>
      </c>
      <c r="G8" s="27">
        <f>+F8</f>
        <v>0.05</v>
      </c>
    </row>
    <row r="9" spans="1:7" x14ac:dyDescent="0.3">
      <c r="A9" s="24" t="s">
        <v>10</v>
      </c>
      <c r="B9" s="28">
        <f>+B8*B6</f>
        <v>1250000</v>
      </c>
      <c r="C9" s="28">
        <f t="shared" ref="C9:G9" si="3">+C8*C6</f>
        <v>2875000</v>
      </c>
      <c r="D9" s="28">
        <f t="shared" si="3"/>
        <v>4959375</v>
      </c>
      <c r="E9" s="28">
        <f t="shared" si="3"/>
        <v>7604375</v>
      </c>
      <c r="F9" s="28">
        <f t="shared" si="3"/>
        <v>10931289.0625</v>
      </c>
      <c r="G9" s="28">
        <f t="shared" si="3"/>
        <v>11477853.515625</v>
      </c>
    </row>
    <row r="12" spans="1:7" s="4" customFormat="1" x14ac:dyDescent="0.3">
      <c r="A12" s="6" t="s">
        <v>12</v>
      </c>
      <c r="B12" s="6" t="s">
        <v>2</v>
      </c>
      <c r="C12" s="6" t="s">
        <v>3</v>
      </c>
      <c r="D12" s="6" t="s">
        <v>4</v>
      </c>
      <c r="E12" s="6" t="s">
        <v>5</v>
      </c>
      <c r="F12" s="6" t="s">
        <v>6</v>
      </c>
      <c r="G12" s="6" t="s">
        <v>7</v>
      </c>
    </row>
    <row r="13" spans="1:7" x14ac:dyDescent="0.3">
      <c r="A13" s="6"/>
      <c r="B13" s="29">
        <v>90</v>
      </c>
      <c r="C13" s="30">
        <f>+B13-B13*5%</f>
        <v>85.5</v>
      </c>
      <c r="D13" s="30">
        <f t="shared" ref="D13:E13" si="4">+C13-C13*5%</f>
        <v>81.224999999999994</v>
      </c>
      <c r="E13" s="30">
        <f t="shared" si="4"/>
        <v>77.163749999999993</v>
      </c>
      <c r="F13" s="30">
        <f>+E13-E13*2%</f>
        <v>75.620474999999999</v>
      </c>
      <c r="G13" s="30">
        <f>+F13-F13*2%</f>
        <v>74.108065499999995</v>
      </c>
    </row>
    <row r="15" spans="1:7" x14ac:dyDescent="0.3">
      <c r="A15" s="6" t="s">
        <v>16</v>
      </c>
      <c r="B15" s="24"/>
    </row>
    <row r="16" spans="1:7" x14ac:dyDescent="0.3">
      <c r="A16" s="24" t="s">
        <v>13</v>
      </c>
      <c r="B16" s="29">
        <v>100000000</v>
      </c>
    </row>
    <row r="17" spans="1:7" x14ac:dyDescent="0.3">
      <c r="A17" s="24" t="s">
        <v>14</v>
      </c>
      <c r="B17" s="29">
        <v>50000000</v>
      </c>
    </row>
    <row r="18" spans="1:7" x14ac:dyDescent="0.3">
      <c r="A18" s="24" t="s">
        <v>15</v>
      </c>
      <c r="B18" s="25">
        <v>30000000</v>
      </c>
    </row>
    <row r="19" spans="1:7" x14ac:dyDescent="0.3">
      <c r="A19" s="6" t="s">
        <v>17</v>
      </c>
      <c r="B19" s="31">
        <f>SUM(B16:B18)</f>
        <v>180000000</v>
      </c>
    </row>
    <row r="21" spans="1:7" x14ac:dyDescent="0.3">
      <c r="A21" s="6" t="s">
        <v>18</v>
      </c>
      <c r="B21" s="25">
        <f>+B19/5</f>
        <v>36000000</v>
      </c>
      <c r="C21" s="3"/>
      <c r="D21" s="3"/>
      <c r="E21" s="3"/>
      <c r="F21" s="3"/>
      <c r="G21" s="3"/>
    </row>
    <row r="23" spans="1:7" x14ac:dyDescent="0.3">
      <c r="A23" s="6" t="s">
        <v>19</v>
      </c>
      <c r="B23" s="32">
        <v>0.25</v>
      </c>
    </row>
    <row r="26" spans="1:7" s="4" customFormat="1" x14ac:dyDescent="0.3">
      <c r="A26" s="6" t="s">
        <v>22</v>
      </c>
      <c r="B26" s="6" t="s">
        <v>2</v>
      </c>
      <c r="C26" s="6" t="s">
        <v>3</v>
      </c>
      <c r="D26" s="6" t="s">
        <v>4</v>
      </c>
      <c r="E26" s="6" t="s">
        <v>5</v>
      </c>
      <c r="F26" s="6" t="s">
        <v>6</v>
      </c>
      <c r="G26" s="6" t="s">
        <v>7</v>
      </c>
    </row>
    <row r="27" spans="1:7" x14ac:dyDescent="0.3">
      <c r="A27" s="6"/>
      <c r="B27" s="32">
        <v>0.18</v>
      </c>
      <c r="C27" s="32">
        <f>+B27-0.01</f>
        <v>0.16999999999999998</v>
      </c>
      <c r="D27" s="32">
        <f>+C27-0.01</f>
        <v>0.15999999999999998</v>
      </c>
      <c r="E27" s="32">
        <f>+D27-0.01</f>
        <v>0.14999999999999997</v>
      </c>
      <c r="F27" s="32">
        <f>+E27</f>
        <v>0.14999999999999997</v>
      </c>
      <c r="G27" s="32">
        <f>+F27</f>
        <v>0.14999999999999997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070B-6987-4D92-983A-65BB0FBA4D1D}">
  <dimension ref="A1:I21"/>
  <sheetViews>
    <sheetView showGridLines="0" tabSelected="1" topLeftCell="A3" workbookViewId="0">
      <pane xSplit="1" topLeftCell="B1" activePane="topRight" state="frozen"/>
      <selection activeCell="A4" sqref="A4"/>
      <selection pane="topRight" activeCell="E15" sqref="E15"/>
    </sheetView>
  </sheetViews>
  <sheetFormatPr defaultRowHeight="14.5" x14ac:dyDescent="0.35"/>
  <cols>
    <col min="1" max="1" width="23.26953125" bestFit="1" customWidth="1"/>
    <col min="2" max="5" width="14.7265625" bestFit="1" customWidth="1"/>
    <col min="6" max="7" width="16.1796875" bestFit="1" customWidth="1"/>
    <col min="8" max="8" width="14.6328125" style="5" bestFit="1" customWidth="1"/>
  </cols>
  <sheetData>
    <row r="1" spans="1:9" s="21" customFormat="1" x14ac:dyDescent="0.35">
      <c r="A1" s="20" t="str">
        <f>+Assumptions!A1</f>
        <v>Apex Electronics</v>
      </c>
      <c r="H1" s="20"/>
    </row>
    <row r="2" spans="1:9" x14ac:dyDescent="0.35">
      <c r="A2" s="5"/>
    </row>
    <row r="4" spans="1:9" s="5" customFormat="1" x14ac:dyDescent="0.35">
      <c r="A4" s="10" t="s">
        <v>25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17</v>
      </c>
    </row>
    <row r="5" spans="1:9" x14ac:dyDescent="0.35">
      <c r="A5" s="12" t="s">
        <v>11</v>
      </c>
      <c r="B5" s="8">
        <f>+Assumptions!B9*Assumptions!B7</f>
        <v>150000000</v>
      </c>
      <c r="C5" s="8">
        <f>+Assumptions!C9*Assumptions!C7</f>
        <v>327750000</v>
      </c>
      <c r="D5" s="8">
        <f>+Assumptions!D9*Assumptions!D7</f>
        <v>537100312.5</v>
      </c>
      <c r="E5" s="8">
        <f>+Assumptions!E9*Assumptions!E7</f>
        <v>782376121.87499988</v>
      </c>
      <c r="F5" s="8">
        <f>+Assumptions!F9*Assumptions!F7</f>
        <v>1102172361.6914063</v>
      </c>
      <c r="G5" s="8">
        <f>+Assumptions!G9*Assumptions!G7</f>
        <v>1134135360.1804569</v>
      </c>
      <c r="H5" s="14">
        <f>SUM(B5:G5)</f>
        <v>4033534156.2468634</v>
      </c>
    </row>
    <row r="6" spans="1:9" x14ac:dyDescent="0.35">
      <c r="A6" s="12" t="s">
        <v>12</v>
      </c>
      <c r="B6" s="9">
        <f>SUM(B7:B8)+B10+B12</f>
        <v>169125000</v>
      </c>
      <c r="C6" s="9">
        <f t="shared" ref="C6:G6" si="0">SUM(C7:C8)+C10+C12</f>
        <v>335085000</v>
      </c>
      <c r="D6" s="9">
        <f t="shared" si="0"/>
        <v>527846041.40625</v>
      </c>
      <c r="E6" s="9">
        <f t="shared" si="0"/>
        <v>750697912.734375</v>
      </c>
      <c r="F6" s="9">
        <f t="shared" si="0"/>
        <v>1046509434.5645508</v>
      </c>
      <c r="G6" s="9">
        <f t="shared" si="0"/>
        <v>1049075208.1669226</v>
      </c>
      <c r="H6" s="14">
        <f>SUM(B6:G6)</f>
        <v>3878338596.8720984</v>
      </c>
      <c r="I6" s="33"/>
    </row>
    <row r="7" spans="1:9" x14ac:dyDescent="0.35">
      <c r="A7" s="12" t="s">
        <v>21</v>
      </c>
      <c r="B7" s="8">
        <f>+Assumptions!B13*Assumptions!B9</f>
        <v>112500000</v>
      </c>
      <c r="C7" s="8">
        <f>+Assumptions!C13*Assumptions!C9</f>
        <v>245812500</v>
      </c>
      <c r="D7" s="8">
        <f>+Assumptions!D13*Assumptions!D9</f>
        <v>402825234.375</v>
      </c>
      <c r="E7" s="8">
        <f>+Assumptions!E13*Assumptions!E9</f>
        <v>586782091.40625</v>
      </c>
      <c r="F7" s="8">
        <f>+Assumptions!F13*Assumptions!F9</f>
        <v>826629271.26855469</v>
      </c>
      <c r="G7" s="8">
        <f>+Assumptions!G13*Assumptions!G9</f>
        <v>850601520.13534272</v>
      </c>
      <c r="H7" s="14">
        <f>SUM(B7:G7)</f>
        <v>3025150617.1851473</v>
      </c>
    </row>
    <row r="8" spans="1:9" s="1" customFormat="1" x14ac:dyDescent="0.35">
      <c r="A8" s="13" t="s">
        <v>18</v>
      </c>
      <c r="B8" s="8">
        <f>+Assumptions!B21</f>
        <v>36000000</v>
      </c>
      <c r="C8" s="8">
        <f>+B8</f>
        <v>36000000</v>
      </c>
      <c r="D8" s="8">
        <f t="shared" ref="D8:F8" si="1">+C8</f>
        <v>36000000</v>
      </c>
      <c r="E8" s="8">
        <f t="shared" si="1"/>
        <v>36000000</v>
      </c>
      <c r="F8" s="8">
        <f t="shared" si="1"/>
        <v>36000000</v>
      </c>
      <c r="G8" s="8"/>
      <c r="H8" s="14">
        <f>SUM(B8:G8)</f>
        <v>180000000</v>
      </c>
    </row>
    <row r="9" spans="1:9" s="1" customFormat="1" x14ac:dyDescent="0.35">
      <c r="A9" s="10" t="s">
        <v>27</v>
      </c>
      <c r="B9" s="8">
        <f>+B5-B7-B8</f>
        <v>1500000</v>
      </c>
      <c r="C9" s="8">
        <f t="shared" ref="C9:H9" si="2">+C5-C7-C8</f>
        <v>45937500</v>
      </c>
      <c r="D9" s="8">
        <f t="shared" si="2"/>
        <v>98275078.125</v>
      </c>
      <c r="E9" s="8">
        <f t="shared" si="2"/>
        <v>159594030.46874988</v>
      </c>
      <c r="F9" s="8">
        <f t="shared" si="2"/>
        <v>239543090.42285156</v>
      </c>
      <c r="G9" s="8">
        <f t="shared" si="2"/>
        <v>283533840.04511416</v>
      </c>
      <c r="H9" s="18">
        <f t="shared" si="2"/>
        <v>828383539.06171608</v>
      </c>
    </row>
    <row r="10" spans="1:9" s="1" customFormat="1" x14ac:dyDescent="0.35">
      <c r="A10" s="13" t="s">
        <v>23</v>
      </c>
      <c r="B10" s="8">
        <f>+B5*Assumptions!B27</f>
        <v>27000000</v>
      </c>
      <c r="C10" s="8">
        <f>+C5*Assumptions!C27</f>
        <v>55717499.999999993</v>
      </c>
      <c r="D10" s="8">
        <f>+D5*Assumptions!D27</f>
        <v>85936049.999999985</v>
      </c>
      <c r="E10" s="8">
        <f>+E5*Assumptions!E27</f>
        <v>117356418.28124996</v>
      </c>
      <c r="F10" s="8">
        <f>+F5*Assumptions!F27</f>
        <v>165325854.2537109</v>
      </c>
      <c r="G10" s="8">
        <f>+G5*Assumptions!G27</f>
        <v>170120304.0270685</v>
      </c>
      <c r="H10" s="14">
        <f>SUM(B10:G10)</f>
        <v>621456126.56202936</v>
      </c>
    </row>
    <row r="11" spans="1:9" x14ac:dyDescent="0.35">
      <c r="A11" s="10" t="s">
        <v>28</v>
      </c>
      <c r="B11" s="9">
        <f>+B9-B10</f>
        <v>-25500000</v>
      </c>
      <c r="C11" s="9">
        <f t="shared" ref="C11:H11" si="3">+C9-C10</f>
        <v>-9779999.9999999925</v>
      </c>
      <c r="D11" s="9">
        <f t="shared" si="3"/>
        <v>12339028.125000015</v>
      </c>
      <c r="E11" s="9">
        <f t="shared" si="3"/>
        <v>42237612.187499925</v>
      </c>
      <c r="F11" s="9">
        <f t="shared" si="3"/>
        <v>74217236.169140667</v>
      </c>
      <c r="G11" s="9">
        <f t="shared" si="3"/>
        <v>113413536.01804566</v>
      </c>
      <c r="H11" s="17">
        <f t="shared" si="3"/>
        <v>206927412.49968672</v>
      </c>
    </row>
    <row r="12" spans="1:9" s="1" customFormat="1" x14ac:dyDescent="0.35">
      <c r="A12" s="13" t="s">
        <v>20</v>
      </c>
      <c r="B12" s="8">
        <f>+B11*25%</f>
        <v>-6375000</v>
      </c>
      <c r="C12" s="8">
        <f t="shared" ref="C12:H12" si="4">+C11*25%</f>
        <v>-2444999.9999999981</v>
      </c>
      <c r="D12" s="8">
        <f t="shared" si="4"/>
        <v>3084757.0312500037</v>
      </c>
      <c r="E12" s="8">
        <f t="shared" si="4"/>
        <v>10559403.046874981</v>
      </c>
      <c r="F12" s="8">
        <f t="shared" si="4"/>
        <v>18554309.042285167</v>
      </c>
      <c r="G12" s="8">
        <f t="shared" si="4"/>
        <v>28353384.004511416</v>
      </c>
      <c r="H12" s="18">
        <f t="shared" si="4"/>
        <v>51731853.124921679</v>
      </c>
    </row>
    <row r="13" spans="1:9" x14ac:dyDescent="0.35">
      <c r="A13" s="16" t="s">
        <v>24</v>
      </c>
      <c r="B13" s="9">
        <f>+B11-B12</f>
        <v>-19125000</v>
      </c>
      <c r="C13" s="9">
        <f t="shared" ref="C13:H13" si="5">+C11-C12</f>
        <v>-7334999.9999999944</v>
      </c>
      <c r="D13" s="9">
        <f t="shared" si="5"/>
        <v>9254271.0937500112</v>
      </c>
      <c r="E13" s="9">
        <f t="shared" si="5"/>
        <v>31678209.140624944</v>
      </c>
      <c r="F13" s="9">
        <f t="shared" si="5"/>
        <v>55662927.1268555</v>
      </c>
      <c r="G13" s="9">
        <f t="shared" si="5"/>
        <v>85060152.013534248</v>
      </c>
      <c r="H13" s="17">
        <f t="shared" si="5"/>
        <v>155195559.37476504</v>
      </c>
    </row>
    <row r="14" spans="1:9" s="5" customFormat="1" x14ac:dyDescent="0.35">
      <c r="A14" s="16" t="s">
        <v>26</v>
      </c>
      <c r="B14" s="15">
        <f t="shared" ref="B14:H14" si="6">+B13/B5</f>
        <v>-0.1275</v>
      </c>
      <c r="C14" s="15">
        <f t="shared" si="6"/>
        <v>-2.2379862700228816E-2</v>
      </c>
      <c r="D14" s="15">
        <f t="shared" si="6"/>
        <v>1.7230060899936658E-2</v>
      </c>
      <c r="E14" s="15">
        <f t="shared" si="6"/>
        <v>4.0489744324899227E-2</v>
      </c>
      <c r="F14" s="15">
        <f t="shared" si="6"/>
        <v>5.0502924099307428E-2</v>
      </c>
      <c r="G14" s="15">
        <f t="shared" si="6"/>
        <v>7.4999999999999983E-2</v>
      </c>
      <c r="H14" s="15">
        <f t="shared" si="6"/>
        <v>3.8476322094461182E-2</v>
      </c>
    </row>
    <row r="15" spans="1:9" x14ac:dyDescent="0.35">
      <c r="E15" s="34"/>
    </row>
    <row r="17" spans="1:8" x14ac:dyDescent="0.35">
      <c r="A17" s="10" t="s">
        <v>29</v>
      </c>
      <c r="B17" s="11" t="s">
        <v>2</v>
      </c>
      <c r="C17" s="11" t="s">
        <v>3</v>
      </c>
      <c r="D17" s="11" t="s">
        <v>4</v>
      </c>
      <c r="E17" s="11" t="s">
        <v>5</v>
      </c>
      <c r="F17" s="11" t="s">
        <v>6</v>
      </c>
      <c r="G17" s="11" t="s">
        <v>7</v>
      </c>
      <c r="H17" s="11" t="s">
        <v>17</v>
      </c>
    </row>
    <row r="18" spans="1:8" x14ac:dyDescent="0.35">
      <c r="A18" s="7" t="s">
        <v>32</v>
      </c>
      <c r="B18" s="9">
        <f>+B13+B8</f>
        <v>16875000</v>
      </c>
      <c r="C18" s="9">
        <f t="shared" ref="C18:G18" si="7">+C13+C8</f>
        <v>28665000.000000007</v>
      </c>
      <c r="D18" s="9">
        <f t="shared" si="7"/>
        <v>45254271.093750015</v>
      </c>
      <c r="E18" s="9">
        <f t="shared" si="7"/>
        <v>67678209.14062494</v>
      </c>
      <c r="F18" s="9">
        <f t="shared" si="7"/>
        <v>91662927.126855493</v>
      </c>
      <c r="G18" s="9">
        <f t="shared" si="7"/>
        <v>85060152.013534248</v>
      </c>
      <c r="H18" s="17">
        <f>SUM(B18:G18)</f>
        <v>335195559.37476468</v>
      </c>
    </row>
    <row r="19" spans="1:8" x14ac:dyDescent="0.35">
      <c r="A19" s="7" t="s">
        <v>30</v>
      </c>
      <c r="B19" s="19">
        <f>+B18/1.12</f>
        <v>15066964.285714284</v>
      </c>
      <c r="C19" s="19">
        <f>+C18/1.12^2</f>
        <v>22851562.500000004</v>
      </c>
      <c r="D19" s="19">
        <f>+D18/1.12^3</f>
        <v>32211096.293724664</v>
      </c>
      <c r="E19" s="19">
        <f>+E18/1.12^4</f>
        <v>43010725.422930241</v>
      </c>
      <c r="F19" s="19">
        <f>+F18/1.12^5</f>
        <v>52012006.525554709</v>
      </c>
      <c r="G19" s="19">
        <f>+G18/1.12^6</f>
        <v>43094120.182130188</v>
      </c>
      <c r="H19" s="17">
        <f>SUM(B19:G19)</f>
        <v>208246475.2100541</v>
      </c>
    </row>
    <row r="20" spans="1:8" x14ac:dyDescent="0.35">
      <c r="A20" s="7" t="s">
        <v>31</v>
      </c>
      <c r="B20" s="9">
        <f>+B8+B10</f>
        <v>63000000</v>
      </c>
      <c r="C20" s="9">
        <f t="shared" ref="C20:G20" si="8">+C8+C10</f>
        <v>91717500</v>
      </c>
      <c r="D20" s="9">
        <f t="shared" si="8"/>
        <v>121936049.99999999</v>
      </c>
      <c r="E20" s="9">
        <f t="shared" si="8"/>
        <v>153356418.28124994</v>
      </c>
      <c r="F20" s="9">
        <f t="shared" si="8"/>
        <v>201325854.2537109</v>
      </c>
      <c r="G20" s="9">
        <f t="shared" si="8"/>
        <v>170120304.0270685</v>
      </c>
      <c r="H20" s="17">
        <f>SUM(B20:G20)</f>
        <v>801456126.56202936</v>
      </c>
    </row>
    <row r="21" spans="1:8" x14ac:dyDescent="0.35">
      <c r="H21" s="17">
        <f>+H19-H20</f>
        <v>-593209651.3519752</v>
      </c>
    </row>
  </sheetData>
  <conditionalFormatting sqref="H21">
    <cfRule type="cellIs" dxfId="1" priority="2" operator="greaterThan">
      <formula>0</formula>
    </cfRule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3E7-E7ED-41CE-96F8-6E30018FEF23}">
  <dimension ref="A1"/>
  <sheetViews>
    <sheetView showGridLines="0" workbookViewId="0"/>
  </sheetViews>
  <sheetFormatPr defaultRowHeight="14.5" x14ac:dyDescent="0.35"/>
  <sheetData>
    <row r="1" spans="1:1" s="21" customFormat="1" x14ac:dyDescent="0.35">
      <c r="A1" s="20" t="str">
        <f>+Financials!A1</f>
        <v>Apex Electronics</v>
      </c>
    </row>
  </sheetData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Assumptions</vt:lpstr>
      <vt:lpstr>Financials</vt:lpstr>
      <vt:lpstr>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Scaglione, Ailin</dc:creator>
  <cp:lastModifiedBy>Scaglione, Ailin</cp:lastModifiedBy>
  <dcterms:created xsi:type="dcterms:W3CDTF">2023-08-14T23:01:39Z</dcterms:created>
  <dcterms:modified xsi:type="dcterms:W3CDTF">2023-08-16T00:16:58Z</dcterms:modified>
</cp:coreProperties>
</file>