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-75" yWindow="4155" windowWidth="12105" windowHeight="4410" firstSheet="4" activeTab="4"/>
  </bookViews>
  <sheets>
    <sheet name="OLD" sheetId="25" state="hidden" r:id="rId1"/>
    <sheet name="078-14 (2)" sheetId="28" state="hidden" r:id="rId2"/>
    <sheet name="CALCULO DE GRANT" sheetId="27" state="hidden" r:id="rId3"/>
    <sheet name="PATRICIA MIRRA (2)" sheetId="29" state="hidden" r:id="rId4"/>
    <sheet name="140823-1230" sheetId="30" r:id="rId5"/>
    <sheet name="140823-1230 (2)" sheetId="31" state="hidden" r:id="rId6"/>
    <sheet name="APOIO" sheetId="19" state="hidden" r:id="rId7"/>
    <sheet name="BANCOS" sheetId="22" r:id="rId8"/>
    <sheet name="CUSTOS DE PRODUÇÃO" sheetId="26" state="hidden" r:id="rId9"/>
  </sheets>
  <functionGroups/>
  <definedNames>
    <definedName name="_xlnm._FilterDatabase" localSheetId="1" hidden="1">'078-14 (2)'!#REF!</definedName>
    <definedName name="_xlnm._FilterDatabase" localSheetId="4" hidden="1">'140823-1230'!#REF!</definedName>
    <definedName name="_xlnm._FilterDatabase" localSheetId="5" hidden="1">'140823-1230 (2)'!#REF!</definedName>
    <definedName name="_xlnm._FilterDatabase" localSheetId="0" hidden="1">OLD!#REF!</definedName>
    <definedName name="_xlnm._FilterDatabase" localSheetId="3" hidden="1">'PATRICIA MIRRA (2)'!#REF!</definedName>
    <definedName name="ACABAMENTO">OFFSET(APOIO!$D$2,0,0,COUNTA(APOIO!$D:$D)-1,1)</definedName>
    <definedName name="_xlnm.Print_Area" localSheetId="1">'078-14 (2)'!$B$1:$J$86</definedName>
    <definedName name="_xlnm.Print_Area" localSheetId="4">'140823-1230'!$AB$1:$AP$32</definedName>
    <definedName name="_xlnm.Print_Area" localSheetId="5">'140823-1230 (2)'!$B$1:$J$90</definedName>
    <definedName name="_xlnm.Print_Area" localSheetId="2">'CALCULO DE GRANT'!#REF!</definedName>
    <definedName name="_xlnm.Print_Area" localSheetId="8">'CUSTOS DE PRODUÇÃO'!$A$1:$J$51</definedName>
    <definedName name="_xlnm.Print_Area" localSheetId="0">OLD!$B$1:$J$92</definedName>
    <definedName name="_xlnm.Print_Area" localSheetId="3">'PATRICIA MIRRA (2)'!$AZ$1:$BD$21</definedName>
    <definedName name="ARREDONDAMENT0_01" localSheetId="1">'078-14 (2)'!$C$83</definedName>
    <definedName name="ARREDONDAMENT0_01" localSheetId="4">'140823-1230'!$C$72</definedName>
    <definedName name="ARREDONDAMENT0_01" localSheetId="5">'140823-1230 (2)'!$C$72</definedName>
    <definedName name="ARREDONDAMENT0_01" localSheetId="3">'PATRICIA MIRRA (2)'!$C$78</definedName>
    <definedName name="ARREDONDAMENT0_01">OLD!$C$83</definedName>
    <definedName name="ARREDONDAMENT0_02" localSheetId="1">'078-14 (2)'!$D$83</definedName>
    <definedName name="ARREDONDAMENT0_02" localSheetId="4">'140823-1230'!$D$72</definedName>
    <definedName name="ARREDONDAMENT0_02" localSheetId="5">'140823-1230 (2)'!$D$72</definedName>
    <definedName name="ARREDONDAMENT0_02" localSheetId="3">'PATRICIA MIRRA (2)'!$D$78</definedName>
    <definedName name="ARREDONDAMENT0_02">OLD!$D$83</definedName>
    <definedName name="ARREDONDAMENT0_03" localSheetId="1">'078-14 (2)'!$E$83</definedName>
    <definedName name="ARREDONDAMENT0_03" localSheetId="4">'140823-1230'!$E$72</definedName>
    <definedName name="ARREDONDAMENT0_03" localSheetId="5">'140823-1230 (2)'!$E$72</definedName>
    <definedName name="ARREDONDAMENT0_03" localSheetId="3">'PATRICIA MIRRA (2)'!$E$78</definedName>
    <definedName name="ARREDONDAMENT0_03">OLD!$E$83</definedName>
    <definedName name="ARREDONDAMENT0_04" localSheetId="1">'078-14 (2)'!$F$83</definedName>
    <definedName name="ARREDONDAMENT0_04" localSheetId="4">'140823-1230'!$F$72</definedName>
    <definedName name="ARREDONDAMENT0_04" localSheetId="5">'140823-1230 (2)'!$F$72</definedName>
    <definedName name="ARREDONDAMENT0_04" localSheetId="3">'PATRICIA MIRRA (2)'!$F$78</definedName>
    <definedName name="ARREDONDAMENT0_04">OLD!$F$83</definedName>
    <definedName name="ARREDONDAMENT0_05" localSheetId="1">'078-14 (2)'!$G$83</definedName>
    <definedName name="ARREDONDAMENT0_05" localSheetId="4">'140823-1230'!$G$72</definedName>
    <definedName name="ARREDONDAMENT0_05" localSheetId="5">'140823-1230 (2)'!$G$72</definedName>
    <definedName name="ARREDONDAMENT0_05" localSheetId="3">'PATRICIA MIRRA (2)'!$G$78</definedName>
    <definedName name="ARREDONDAMENT0_05">OLD!$G$83</definedName>
    <definedName name="ARREDONDAMENT0_06" localSheetId="1">'078-14 (2)'!$H$83</definedName>
    <definedName name="ARREDONDAMENT0_06" localSheetId="4">'140823-1230'!$H$72</definedName>
    <definedName name="ARREDONDAMENT0_06" localSheetId="5">'140823-1230 (2)'!$H$72</definedName>
    <definedName name="ARREDONDAMENT0_06" localSheetId="3">'PATRICIA MIRRA (2)'!$H$78</definedName>
    <definedName name="ARREDONDAMENT0_06">OLD!$H$83</definedName>
    <definedName name="ARREDONDAMENT0_07" localSheetId="1">'078-14 (2)'!$I$83</definedName>
    <definedName name="ARREDONDAMENT0_07" localSheetId="4">'140823-1230'!$I$72</definedName>
    <definedName name="ARREDONDAMENT0_07" localSheetId="5">'140823-1230 (2)'!$I$72</definedName>
    <definedName name="ARREDONDAMENT0_07" localSheetId="3">'PATRICIA MIRRA (2)'!$I$78</definedName>
    <definedName name="ARREDONDAMENT0_07">OLD!$I$83</definedName>
    <definedName name="ARREDONDAMENT0_08" localSheetId="1">'078-14 (2)'!$J$83</definedName>
    <definedName name="ARREDONDAMENT0_08" localSheetId="4">'140823-1230'!$J$72</definedName>
    <definedName name="ARREDONDAMENT0_08" localSheetId="5">'140823-1230 (2)'!$J$72</definedName>
    <definedName name="ARREDONDAMENT0_08" localSheetId="3">'PATRICIA MIRRA (2)'!$J$78</definedName>
    <definedName name="ARREDONDAMENT0_08">OLD!$J$83</definedName>
    <definedName name="ARREDONDAMENTO_COMPRAS_01">'140823-1230'!$C$87</definedName>
    <definedName name="ARREDONDAMENTO_COMPRAS_02">'140823-1230'!$D$87</definedName>
    <definedName name="ARREDONDAMENTO_COMPRAS_03">'140823-1230'!$E$87</definedName>
    <definedName name="ARREDONDAMENTO_COMPRAS_04">'140823-1230'!$F$87</definedName>
    <definedName name="ARREDONDAMENTO_COMPRAS_05">'140823-1230'!$G$87</definedName>
    <definedName name="ARREDONDAMENTO_COMPRAS_06">'140823-1230'!$H$87</definedName>
    <definedName name="ARREDONDAMENTO_COMPRAS_07">'140823-1230'!$I$87</definedName>
    <definedName name="ARREDONDAMENTO_COMPRAS_08">'140823-1230'!$J$87</definedName>
    <definedName name="Caracteristicas" localSheetId="1">'078-14 (2)'!$C$29:$J$29</definedName>
    <definedName name="Caracteristicas" localSheetId="4">'140823-1230'!$C$29:$J$29</definedName>
    <definedName name="Caracteristicas" localSheetId="5">'140823-1230 (2)'!$C$29:$J$29</definedName>
    <definedName name="Caracteristicas" localSheetId="3">'PATRICIA MIRRA (2)'!$C$29:$J$29</definedName>
    <definedName name="Caracteristicas">OLD!$C$29:$J$29</definedName>
    <definedName name="CLIENTES">OFFSET(APOIO!$C$2,0,0,COUNTA(APOIO!$C:$C)-1,1)</definedName>
    <definedName name="DescontoComprasMKT_01" localSheetId="1">'078-14 (2)'!$C$76</definedName>
    <definedName name="DescontoComprasMKT_01" localSheetId="4">'140823-1230'!$C$83</definedName>
    <definedName name="DescontoComprasMKT_01" localSheetId="5">'140823-1230 (2)'!$C$83</definedName>
    <definedName name="DescontoComprasMKT_01" localSheetId="3">'PATRICIA MIRRA (2)'!$C$89</definedName>
    <definedName name="DescontoComprasMKT_01">OLD!$C$76</definedName>
    <definedName name="DescontoComprasMKT_02" localSheetId="1">'078-14 (2)'!$D$76</definedName>
    <definedName name="DescontoComprasMKT_02" localSheetId="4">'140823-1230'!$D$83</definedName>
    <definedName name="DescontoComprasMKT_02" localSheetId="5">'140823-1230 (2)'!$D$83</definedName>
    <definedName name="DescontoComprasMKT_02" localSheetId="3">'PATRICIA MIRRA (2)'!$D$89</definedName>
    <definedName name="DescontoComprasMKT_02">OLD!$D$76</definedName>
    <definedName name="DescontoComprasMKT_03" localSheetId="1">'078-14 (2)'!$E$76</definedName>
    <definedName name="DescontoComprasMKT_03" localSheetId="4">'140823-1230'!$E$83</definedName>
    <definedName name="DescontoComprasMKT_03" localSheetId="5">'140823-1230 (2)'!$E$83</definedName>
    <definedName name="DescontoComprasMKT_03" localSheetId="3">'PATRICIA MIRRA (2)'!$E$89</definedName>
    <definedName name="DescontoComprasMKT_03">OLD!$E$76</definedName>
    <definedName name="DescontoComprasMKT_04" localSheetId="1">'078-14 (2)'!$F$76</definedName>
    <definedName name="DescontoComprasMKT_04" localSheetId="4">'140823-1230'!$F$83</definedName>
    <definedName name="DescontoComprasMKT_04" localSheetId="5">'140823-1230 (2)'!$F$83</definedName>
    <definedName name="DescontoComprasMKT_04" localSheetId="3">'PATRICIA MIRRA (2)'!$F$89</definedName>
    <definedName name="DescontoComprasMKT_04">OLD!$F$76</definedName>
    <definedName name="DescontoComprasMKT_05" localSheetId="1">'078-14 (2)'!$G$76</definedName>
    <definedName name="DescontoComprasMKT_05" localSheetId="4">'140823-1230'!$G$83</definedName>
    <definedName name="DescontoComprasMKT_05" localSheetId="5">'140823-1230 (2)'!$G$83</definedName>
    <definedName name="DescontoComprasMKT_05" localSheetId="3">'PATRICIA MIRRA (2)'!$G$89</definedName>
    <definedName name="DescontoComprasMKT_05">OLD!$G$76</definedName>
    <definedName name="DescontoComprasMKT_06" localSheetId="1">'078-14 (2)'!$H$76</definedName>
    <definedName name="DescontoComprasMKT_06" localSheetId="4">'140823-1230'!$H$83</definedName>
    <definedName name="DescontoComprasMKT_06" localSheetId="5">'140823-1230 (2)'!$H$83</definedName>
    <definedName name="DescontoComprasMKT_06" localSheetId="3">'PATRICIA MIRRA (2)'!$H$89</definedName>
    <definedName name="DescontoComprasMKT_06">OLD!$H$76</definedName>
    <definedName name="DescontoComprasMKT_07" localSheetId="1">'078-14 (2)'!$I$76</definedName>
    <definedName name="DescontoComprasMKT_07" localSheetId="4">'140823-1230'!$I$83</definedName>
    <definedName name="DescontoComprasMKT_07" localSheetId="5">'140823-1230 (2)'!$I$83</definedName>
    <definedName name="DescontoComprasMKT_07" localSheetId="3">'PATRICIA MIRRA (2)'!$I$89</definedName>
    <definedName name="DescontoComprasMKT_07">OLD!$I$76</definedName>
    <definedName name="DescontoComprasMKT_08" localSheetId="1">'078-14 (2)'!$J$76</definedName>
    <definedName name="DescontoComprasMKT_08" localSheetId="4">'140823-1230'!$J$83</definedName>
    <definedName name="DescontoComprasMKT_08" localSheetId="5">'140823-1230 (2)'!$J$83</definedName>
    <definedName name="DescontoComprasMKT_08" localSheetId="3">'PATRICIA MIRRA (2)'!$J$89</definedName>
    <definedName name="DescontoComprasMKT_08">OLD!$J$76</definedName>
    <definedName name="DescontoPadrao_01" localSheetId="1">'078-14 (2)'!$C$71</definedName>
    <definedName name="DescontoPadrao_01" localSheetId="4">'140823-1230'!$C$78</definedName>
    <definedName name="DescontoPadrao_01" localSheetId="5">'140823-1230 (2)'!$C$78</definedName>
    <definedName name="DescontoPadrao_01" localSheetId="3">'PATRICIA MIRRA (2)'!$C$84</definedName>
    <definedName name="DescontoPadrao_01">OLD!$C$71</definedName>
    <definedName name="DescontoPadrao_02" localSheetId="1">'078-14 (2)'!$D$71</definedName>
    <definedName name="DescontoPadrao_02" localSheetId="4">'140823-1230'!$D$78</definedName>
    <definedName name="DescontoPadrao_02" localSheetId="5">'140823-1230 (2)'!$D$78</definedName>
    <definedName name="DescontoPadrao_02" localSheetId="3">'PATRICIA MIRRA (2)'!$D$84</definedName>
    <definedName name="DescontoPadrao_02">OLD!$D$71</definedName>
    <definedName name="DescontoPadrao_03" localSheetId="1">'078-14 (2)'!$E$71</definedName>
    <definedName name="DescontoPadrao_03" localSheetId="4">'140823-1230'!$E$78</definedName>
    <definedName name="DescontoPadrao_03" localSheetId="5">'140823-1230 (2)'!$E$78</definedName>
    <definedName name="DescontoPadrao_03" localSheetId="3">'PATRICIA MIRRA (2)'!$E$84</definedName>
    <definedName name="DescontoPadrao_03">OLD!$E$71</definedName>
    <definedName name="DescontoPadrao_04" localSheetId="1">'078-14 (2)'!$F$71</definedName>
    <definedName name="DescontoPadrao_04" localSheetId="4">'140823-1230'!$F$78</definedName>
    <definedName name="DescontoPadrao_04" localSheetId="5">'140823-1230 (2)'!$F$78</definedName>
    <definedName name="DescontoPadrao_04" localSheetId="3">'PATRICIA MIRRA (2)'!$F$84</definedName>
    <definedName name="DescontoPadrao_04">OLD!$F$71</definedName>
    <definedName name="DescontoPadrao_05" localSheetId="1">'078-14 (2)'!$G$71</definedName>
    <definedName name="DescontoPadrao_05" localSheetId="4">'140823-1230'!$G$78</definedName>
    <definedName name="DescontoPadrao_05" localSheetId="5">'140823-1230 (2)'!$G$78</definedName>
    <definedName name="DescontoPadrao_05" localSheetId="3">'PATRICIA MIRRA (2)'!$G$84</definedName>
    <definedName name="DescontoPadrao_05">OLD!$G$71</definedName>
    <definedName name="DescontoPadrao_06" localSheetId="1">'078-14 (2)'!$H$71</definedName>
    <definedName name="DescontoPadrao_06" localSheetId="4">'140823-1230'!$H$78</definedName>
    <definedName name="DescontoPadrao_06" localSheetId="5">'140823-1230 (2)'!$H$78</definedName>
    <definedName name="DescontoPadrao_06" localSheetId="3">'PATRICIA MIRRA (2)'!$H$84</definedName>
    <definedName name="DescontoPadrao_06">OLD!$H$71</definedName>
    <definedName name="DescontoPadrao_07" localSheetId="1">'078-14 (2)'!$I$71</definedName>
    <definedName name="DescontoPadrao_07" localSheetId="4">'140823-1230'!$I$78</definedName>
    <definedName name="DescontoPadrao_07" localSheetId="5">'140823-1230 (2)'!$I$78</definedName>
    <definedName name="DescontoPadrao_07" localSheetId="3">'PATRICIA MIRRA (2)'!$I$84</definedName>
    <definedName name="DescontoPadrao_07">OLD!$I$71</definedName>
    <definedName name="DescontoPadrao_08" localSheetId="1">'078-14 (2)'!$J$71</definedName>
    <definedName name="DescontoPadrao_08" localSheetId="4">'140823-1230'!$J$78</definedName>
    <definedName name="DescontoPadrao_08" localSheetId="5">'140823-1230 (2)'!$J$78</definedName>
    <definedName name="DescontoPadrao_08" localSheetId="3">'PATRICIA MIRRA (2)'!$J$84</definedName>
    <definedName name="DescontoPadrao_08">OLD!$J$71</definedName>
    <definedName name="DESCONTOS" localSheetId="1">OFFSET('078-14 (2)'!$W$3,0,0,COUNTA('078-14 (2)'!$W:$W)-2,1)</definedName>
    <definedName name="DESCONTOS" localSheetId="4">OFFSET('140823-1230'!$W$3,0,0,COUNTA('140823-1230'!$W:$W)-2,1)</definedName>
    <definedName name="DESCONTOS" localSheetId="5">OFFSET('140823-1230 (2)'!$W$3,0,0,COUNTA('140823-1230 (2)'!$W:$W)-2,1)</definedName>
    <definedName name="DESCONTOS" localSheetId="3">OFFSET('PATRICIA MIRRA (2)'!$W$3,0,0,COUNTA('PATRICIA MIRRA (2)'!$W:$W)-2,1)</definedName>
    <definedName name="DESCONTOS">OFFSET(OLD!$W$3,0,0,COUNTA(OLD!$W:$W)-2,1)</definedName>
    <definedName name="DRIVERS">OFFSET(BANCOS!$H$2,0,0,COUNTA(BANCOS!$H:$H)-1,1)</definedName>
    <definedName name="FASCICULOS_01" localSheetId="1">'078-14 (2)'!$C$14</definedName>
    <definedName name="FASCICULOS_01" localSheetId="4">'140823-1230'!$C$14</definedName>
    <definedName name="FASCICULOS_01" localSheetId="5">'140823-1230 (2)'!$C$14</definedName>
    <definedName name="FASCICULOS_01" localSheetId="3">'PATRICIA MIRRA (2)'!$C$14</definedName>
    <definedName name="FASCICULOS_01">OLD!$C$14</definedName>
    <definedName name="FASCICULOS_02" localSheetId="1">'078-14 (2)'!$D$14</definedName>
    <definedName name="FASCICULOS_02" localSheetId="4">'140823-1230'!$D$14</definedName>
    <definedName name="FASCICULOS_02" localSheetId="5">'140823-1230 (2)'!$D$14</definedName>
    <definedName name="FASCICULOS_02" localSheetId="3">'PATRICIA MIRRA (2)'!$D$14</definedName>
    <definedName name="FASCICULOS_02">OLD!$D$14</definedName>
    <definedName name="FASCICULOS_03" localSheetId="1">'078-14 (2)'!$E$14</definedName>
    <definedName name="FASCICULOS_03" localSheetId="4">'140823-1230'!$E$14</definedName>
    <definedName name="FASCICULOS_03" localSheetId="5">'140823-1230 (2)'!$E$14</definedName>
    <definedName name="FASCICULOS_03" localSheetId="3">'PATRICIA MIRRA (2)'!$E$14</definedName>
    <definedName name="FASCICULOS_03">OLD!$E$14</definedName>
    <definedName name="FASCICULOS_04" localSheetId="1">'078-14 (2)'!$F$14</definedName>
    <definedName name="FASCICULOS_04" localSheetId="4">'140823-1230'!$F$14</definedName>
    <definedName name="FASCICULOS_04" localSheetId="5">'140823-1230 (2)'!$F$14</definedName>
    <definedName name="FASCICULOS_04" localSheetId="3">'PATRICIA MIRRA (2)'!$F$14</definedName>
    <definedName name="FASCICULOS_04">OLD!$F$14</definedName>
    <definedName name="FASCICULOS_05" localSheetId="1">'078-14 (2)'!$G$14</definedName>
    <definedName name="FASCICULOS_05" localSheetId="4">'140823-1230'!$G$14</definedName>
    <definedName name="FASCICULOS_05" localSheetId="5">'140823-1230 (2)'!$G$14</definedName>
    <definedName name="FASCICULOS_05" localSheetId="3">'PATRICIA MIRRA (2)'!$G$14</definedName>
    <definedName name="FASCICULOS_05">OLD!$G$14</definedName>
    <definedName name="FASCICULOS_06" localSheetId="1">'078-14 (2)'!$H$14</definedName>
    <definedName name="FASCICULOS_06" localSheetId="4">'140823-1230'!$H$14</definedName>
    <definedName name="FASCICULOS_06" localSheetId="5">'140823-1230 (2)'!$H$14</definedName>
    <definedName name="FASCICULOS_06" localSheetId="3">'PATRICIA MIRRA (2)'!$H$14</definedName>
    <definedName name="FASCICULOS_06">OLD!$H$14</definedName>
    <definedName name="FASCICULOS_07" localSheetId="1">'078-14 (2)'!$I$14</definedName>
    <definedName name="FASCICULOS_07" localSheetId="4">'140823-1230'!$I$14</definedName>
    <definedName name="FASCICULOS_07" localSheetId="5">'140823-1230 (2)'!$I$14</definedName>
    <definedName name="FASCICULOS_07" localSheetId="3">'PATRICIA MIRRA (2)'!$I$14</definedName>
    <definedName name="FASCICULOS_07">OLD!$I$14</definedName>
    <definedName name="FASCICULOS_08" localSheetId="1">'078-14 (2)'!$J$14</definedName>
    <definedName name="FASCICULOS_08" localSheetId="4">'140823-1230'!$J$14</definedName>
    <definedName name="FASCICULOS_08" localSheetId="5">'140823-1230 (2)'!$J$14</definedName>
    <definedName name="FASCICULOS_08" localSheetId="3">'PATRICIA MIRRA (2)'!$J$14</definedName>
    <definedName name="FASCICULOS_08">OLD!$J$14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 localSheetId="1">OFFSET('078-14 (2)'!$L$3,0,0,COUNTA('078-14 (2)'!$L:$L)-2,1)</definedName>
    <definedName name="LINHA" localSheetId="4">OFFSET('140823-1230'!$L$3,0,0,COUNTA('140823-1230'!$L:$L)-2,1)</definedName>
    <definedName name="LINHA" localSheetId="5">OFFSET('140823-1230 (2)'!$L$3,0,0,COUNTA('140823-1230 (2)'!$L:$L)-2,1)</definedName>
    <definedName name="LINHA" localSheetId="3">OFFSET('PATRICIA MIRRA (2)'!$L$3,0,0,COUNTA('PATRICIA MIRRA (2)'!$L:$L)-2,1)</definedName>
    <definedName name="LINHA">OFFSET(OLD!$L$3,0,0,COUNTA(OLD!$L:$L)-2,1)</definedName>
    <definedName name="LINHA_DE_PRODUTO_01" localSheetId="1">'078-14 (2)'!$C$13</definedName>
    <definedName name="LINHA_DE_PRODUTO_01" localSheetId="4">'140823-1230'!$C$13</definedName>
    <definedName name="LINHA_DE_PRODUTO_01" localSheetId="5">'140823-1230 (2)'!$C$13</definedName>
    <definedName name="LINHA_DE_PRODUTO_01" localSheetId="3">'PATRICIA MIRRA (2)'!$C$13</definedName>
    <definedName name="LINHA_DE_PRODUTO_01">OLD!$C$13</definedName>
    <definedName name="LINHA_DE_PRODUTO_02" localSheetId="1">'078-14 (2)'!$D$13</definedName>
    <definedName name="LINHA_DE_PRODUTO_02" localSheetId="4">'140823-1230'!$D$13</definedName>
    <definedName name="LINHA_DE_PRODUTO_02" localSheetId="5">'140823-1230 (2)'!$D$13</definedName>
    <definedName name="LINHA_DE_PRODUTO_02" localSheetId="3">'PATRICIA MIRRA (2)'!$D$13</definedName>
    <definedName name="LINHA_DE_PRODUTO_02">OLD!$D$13</definedName>
    <definedName name="LINHA_DE_PRODUTO_03" localSheetId="1">'078-14 (2)'!$E$13</definedName>
    <definedName name="LINHA_DE_PRODUTO_03" localSheetId="4">'140823-1230'!$E$13</definedName>
    <definedName name="LINHA_DE_PRODUTO_03" localSheetId="5">'140823-1230 (2)'!$E$13</definedName>
    <definedName name="LINHA_DE_PRODUTO_03" localSheetId="3">'PATRICIA MIRRA (2)'!$E$13</definedName>
    <definedName name="LINHA_DE_PRODUTO_03">OLD!$E$13</definedName>
    <definedName name="LINHA_DE_PRODUTO_04" localSheetId="1">'078-14 (2)'!$F$13</definedName>
    <definedName name="LINHA_DE_PRODUTO_04" localSheetId="4">'140823-1230'!$F$13</definedName>
    <definedName name="LINHA_DE_PRODUTO_04" localSheetId="5">'140823-1230 (2)'!$F$13</definedName>
    <definedName name="LINHA_DE_PRODUTO_04" localSheetId="3">'PATRICIA MIRRA (2)'!$F$13</definedName>
    <definedName name="LINHA_DE_PRODUTO_04">OLD!$F$13</definedName>
    <definedName name="LINHA_DE_PRODUTO_05" localSheetId="1">'078-14 (2)'!$G$13</definedName>
    <definedName name="LINHA_DE_PRODUTO_05" localSheetId="4">'140823-1230'!$G$13</definedName>
    <definedName name="LINHA_DE_PRODUTO_05" localSheetId="5">'140823-1230 (2)'!$G$13</definedName>
    <definedName name="LINHA_DE_PRODUTO_05" localSheetId="3">'PATRICIA MIRRA (2)'!$G$13</definedName>
    <definedName name="LINHA_DE_PRODUTO_05">OLD!$G$13</definedName>
    <definedName name="LINHA_DE_PRODUTO_06" localSheetId="1">'078-14 (2)'!$H$13</definedName>
    <definedName name="LINHA_DE_PRODUTO_06" localSheetId="4">'140823-1230'!$H$13</definedName>
    <definedName name="LINHA_DE_PRODUTO_06" localSheetId="5">'140823-1230 (2)'!$H$13</definedName>
    <definedName name="LINHA_DE_PRODUTO_06" localSheetId="3">'PATRICIA MIRRA (2)'!$H$13</definedName>
    <definedName name="LINHA_DE_PRODUTO_06">OLD!$H$13</definedName>
    <definedName name="LINHA_DE_PRODUTO_07" localSheetId="1">'078-14 (2)'!$I$13</definedName>
    <definedName name="LINHA_DE_PRODUTO_07" localSheetId="4">'140823-1230'!$I$13</definedName>
    <definedName name="LINHA_DE_PRODUTO_07" localSheetId="5">'140823-1230 (2)'!$I$13</definedName>
    <definedName name="LINHA_DE_PRODUTO_07" localSheetId="3">'PATRICIA MIRRA (2)'!$I$13</definedName>
    <definedName name="LINHA_DE_PRODUTO_07">OLD!$I$13</definedName>
    <definedName name="LINHA_DE_PRODUTO_08" localSheetId="1">'078-14 (2)'!$J$13</definedName>
    <definedName name="LINHA_DE_PRODUTO_08" localSheetId="4">'140823-1230'!$J$13</definedName>
    <definedName name="LINHA_DE_PRODUTO_08" localSheetId="5">'140823-1230 (2)'!$J$13</definedName>
    <definedName name="LINHA_DE_PRODUTO_08" localSheetId="3">'PATRICIA MIRRA (2)'!$J$13</definedName>
    <definedName name="LINHA_DE_PRODUTO_08">OLD!$J$13</definedName>
    <definedName name="MARGEM_MINIMA_01" localSheetId="1">'078-14 (2)'!$C$62</definedName>
    <definedName name="MARGEM_MINIMA_01" localSheetId="4">'140823-1230'!$C$62</definedName>
    <definedName name="MARGEM_MINIMA_01" localSheetId="5">'140823-1230 (2)'!$C$62</definedName>
    <definedName name="MARGEM_MINIMA_01" localSheetId="3">'PATRICIA MIRRA (2)'!$C$68</definedName>
    <definedName name="MARGEM_MINIMA_01">OLD!$C$62</definedName>
    <definedName name="MARGEM_MINIMA_02" localSheetId="1">'078-14 (2)'!$D$62</definedName>
    <definedName name="MARGEM_MINIMA_02" localSheetId="4">'140823-1230'!$D$62</definedName>
    <definedName name="MARGEM_MINIMA_02" localSheetId="5">'140823-1230 (2)'!$D$62</definedName>
    <definedName name="MARGEM_MINIMA_02" localSheetId="3">'PATRICIA MIRRA (2)'!$D$68</definedName>
    <definedName name="MARGEM_MINIMA_02">OLD!$D$62</definedName>
    <definedName name="MARGEM_MINIMA_03" localSheetId="1">'078-14 (2)'!$E$62</definedName>
    <definedName name="MARGEM_MINIMA_03" localSheetId="4">'140823-1230'!$E$62</definedName>
    <definedName name="MARGEM_MINIMA_03" localSheetId="5">'140823-1230 (2)'!$E$62</definedName>
    <definedName name="MARGEM_MINIMA_03" localSheetId="3">'PATRICIA MIRRA (2)'!$E$68</definedName>
    <definedName name="MARGEM_MINIMA_03">OLD!$E$62</definedName>
    <definedName name="MARGEM_MINIMA_04" localSheetId="1">'078-14 (2)'!$F$62</definedName>
    <definedName name="MARGEM_MINIMA_04" localSheetId="4">'140823-1230'!$F$62</definedName>
    <definedName name="MARGEM_MINIMA_04" localSheetId="5">'140823-1230 (2)'!$F$62</definedName>
    <definedName name="MARGEM_MINIMA_04" localSheetId="3">'PATRICIA MIRRA (2)'!$F$68</definedName>
    <definedName name="MARGEM_MINIMA_04">OLD!$F$62</definedName>
    <definedName name="MARGEM_MINIMA_05" localSheetId="1">'078-14 (2)'!$G$62</definedName>
    <definedName name="MARGEM_MINIMA_05" localSheetId="4">'140823-1230'!$G$62</definedName>
    <definedName name="MARGEM_MINIMA_05" localSheetId="5">'140823-1230 (2)'!$G$62</definedName>
    <definedName name="MARGEM_MINIMA_05" localSheetId="3">'PATRICIA MIRRA (2)'!$G$68</definedName>
    <definedName name="MARGEM_MINIMA_05">OLD!$G$62</definedName>
    <definedName name="MARGEM_MINIMA_06" localSheetId="1">'078-14 (2)'!$H$62</definedName>
    <definedName name="MARGEM_MINIMA_06" localSheetId="4">'140823-1230'!$H$62</definedName>
    <definedName name="MARGEM_MINIMA_06" localSheetId="5">'140823-1230 (2)'!$H$62</definedName>
    <definedName name="MARGEM_MINIMA_06" localSheetId="3">'PATRICIA MIRRA (2)'!$H$68</definedName>
    <definedName name="MARGEM_MINIMA_06">OLD!$H$62</definedName>
    <definedName name="MARGEM_MINIMA_07" localSheetId="1">'078-14 (2)'!$I$62</definedName>
    <definedName name="MARGEM_MINIMA_07" localSheetId="4">'140823-1230'!$I$62</definedName>
    <definedName name="MARGEM_MINIMA_07" localSheetId="5">'140823-1230 (2)'!$I$62</definedName>
    <definedName name="MARGEM_MINIMA_07" localSheetId="3">'PATRICIA MIRRA (2)'!$I$68</definedName>
    <definedName name="MARGEM_MINIMA_07">OLD!$I$62</definedName>
    <definedName name="MARGEM_MINIMA_08" localSheetId="1">'078-14 (2)'!$J$62</definedName>
    <definedName name="MARGEM_MINIMA_08" localSheetId="4">'140823-1230'!$J$62</definedName>
    <definedName name="MARGEM_MINIMA_08" localSheetId="5">'140823-1230 (2)'!$J$62</definedName>
    <definedName name="MARGEM_MINIMA_08" localSheetId="3">'PATRICIA MIRRA (2)'!$J$68</definedName>
    <definedName name="MARGEM_MINIMA_08">OLD!$J$62</definedName>
    <definedName name="MargemBrutaComprasMKT_01" localSheetId="1">'078-14 (2)'!$C$77</definedName>
    <definedName name="MargemBrutaComprasMKT_01" localSheetId="4">'140823-1230'!$C$84</definedName>
    <definedName name="MargemBrutaComprasMKT_01" localSheetId="5">'140823-1230 (2)'!$C$84</definedName>
    <definedName name="MargemBrutaComprasMKT_01" localSheetId="3">'PATRICIA MIRRA (2)'!$C$90</definedName>
    <definedName name="MargemBrutaComprasMKT_01">OLD!$C$77</definedName>
    <definedName name="MargemBrutaComprasMKT_02" localSheetId="1">'078-14 (2)'!$D$77</definedName>
    <definedName name="MargemBrutaComprasMKT_02" localSheetId="4">'140823-1230'!$D$84</definedName>
    <definedName name="MargemBrutaComprasMKT_02" localSheetId="5">'140823-1230 (2)'!$D$84</definedName>
    <definedName name="MargemBrutaComprasMKT_02" localSheetId="3">'PATRICIA MIRRA (2)'!$D$90</definedName>
    <definedName name="MargemBrutaComprasMKT_02">OLD!$D$77</definedName>
    <definedName name="MargemBrutaComprasMKT_03" localSheetId="1">'078-14 (2)'!$E$77</definedName>
    <definedName name="MargemBrutaComprasMKT_03" localSheetId="4">'140823-1230'!$E$84</definedName>
    <definedName name="MargemBrutaComprasMKT_03" localSheetId="5">'140823-1230 (2)'!$E$84</definedName>
    <definedName name="MargemBrutaComprasMKT_03" localSheetId="3">'PATRICIA MIRRA (2)'!$E$90</definedName>
    <definedName name="MargemBrutaComprasMKT_03">OLD!$E$77</definedName>
    <definedName name="MargemBrutaComprasMKT_04" localSheetId="1">'078-14 (2)'!$F$77</definedName>
    <definedName name="MargemBrutaComprasMKT_04" localSheetId="4">'140823-1230'!$F$84</definedName>
    <definedName name="MargemBrutaComprasMKT_04" localSheetId="5">'140823-1230 (2)'!$F$84</definedName>
    <definedName name="MargemBrutaComprasMKT_04" localSheetId="3">'PATRICIA MIRRA (2)'!$F$90</definedName>
    <definedName name="MargemBrutaComprasMKT_04">OLD!$F$77</definedName>
    <definedName name="MargemBrutaComprasMKT_05" localSheetId="1">'078-14 (2)'!$G$77</definedName>
    <definedName name="MargemBrutaComprasMKT_05" localSheetId="4">'140823-1230'!$G$84</definedName>
    <definedName name="MargemBrutaComprasMKT_05" localSheetId="5">'140823-1230 (2)'!$G$84</definedName>
    <definedName name="MargemBrutaComprasMKT_05" localSheetId="3">'PATRICIA MIRRA (2)'!$G$90</definedName>
    <definedName name="MargemBrutaComprasMKT_05">OLD!$G$77</definedName>
    <definedName name="MargemBrutaComprasMKT_06" localSheetId="1">'078-14 (2)'!$H$77</definedName>
    <definedName name="MargemBrutaComprasMKT_06" localSheetId="4">'140823-1230'!$H$84</definedName>
    <definedName name="MargemBrutaComprasMKT_06" localSheetId="5">'140823-1230 (2)'!$H$84</definedName>
    <definedName name="MargemBrutaComprasMKT_06" localSheetId="3">'PATRICIA MIRRA (2)'!$H$90</definedName>
    <definedName name="MargemBrutaComprasMKT_06">OLD!$H$77</definedName>
    <definedName name="MargemBrutaComprasMKT_07" localSheetId="1">'078-14 (2)'!$I$77</definedName>
    <definedName name="MargemBrutaComprasMKT_07" localSheetId="4">'140823-1230'!$I$84</definedName>
    <definedName name="MargemBrutaComprasMKT_07" localSheetId="5">'140823-1230 (2)'!$I$84</definedName>
    <definedName name="MargemBrutaComprasMKT_07" localSheetId="3">'PATRICIA MIRRA (2)'!$I$90</definedName>
    <definedName name="MargemBrutaComprasMKT_07">OLD!$I$77</definedName>
    <definedName name="MargemBrutaComprasMKT_08" localSheetId="1">'078-14 (2)'!$J$77</definedName>
    <definedName name="MargemBrutaComprasMKT_08" localSheetId="4">'140823-1230'!$J$84</definedName>
    <definedName name="MargemBrutaComprasMKT_08" localSheetId="5">'140823-1230 (2)'!$J$84</definedName>
    <definedName name="MargemBrutaComprasMKT_08" localSheetId="3">'PATRICIA MIRRA (2)'!$J$90</definedName>
    <definedName name="MargemBrutaComprasMKT_08">OLD!$J$77</definedName>
    <definedName name="MargemBrutaMKT_01" localSheetId="1">'078-14 (2)'!$C$69</definedName>
    <definedName name="MargemBrutaMKT_01" localSheetId="4">'140823-1230'!$C$69</definedName>
    <definedName name="MargemBrutaMKT_01" localSheetId="5">'140823-1230 (2)'!$C$69</definedName>
    <definedName name="MargemBrutaMKT_01" localSheetId="3">'PATRICIA MIRRA (2)'!$C$75</definedName>
    <definedName name="MargemBrutaMKT_01">OLD!$C$69</definedName>
    <definedName name="MargemBrutaMKT_02" localSheetId="1">'078-14 (2)'!$D$69</definedName>
    <definedName name="MargemBrutaMKT_02" localSheetId="4">'140823-1230'!$D$69</definedName>
    <definedName name="MargemBrutaMKT_02" localSheetId="5">'140823-1230 (2)'!$D$69</definedName>
    <definedName name="MargemBrutaMKT_02" localSheetId="3">'PATRICIA MIRRA (2)'!$D$75</definedName>
    <definedName name="MargemBrutaMKT_02">OLD!$D$69</definedName>
    <definedName name="MargemBrutaMKT_03" localSheetId="1">'078-14 (2)'!$E$69</definedName>
    <definedName name="MargemBrutaMKT_03" localSheetId="4">'140823-1230'!$E$69</definedName>
    <definedName name="MargemBrutaMKT_03" localSheetId="5">'140823-1230 (2)'!$E$69</definedName>
    <definedName name="MargemBrutaMKT_03" localSheetId="3">'PATRICIA MIRRA (2)'!$E$75</definedName>
    <definedName name="MargemBrutaMKT_03">OLD!$E$69</definedName>
    <definedName name="MargemBrutaMKT_04" localSheetId="1">'078-14 (2)'!$F$69</definedName>
    <definedName name="MargemBrutaMKT_04" localSheetId="4">'140823-1230'!$F$69</definedName>
    <definedName name="MargemBrutaMKT_04" localSheetId="5">'140823-1230 (2)'!$F$69</definedName>
    <definedName name="MargemBrutaMKT_04" localSheetId="3">'PATRICIA MIRRA (2)'!$F$75</definedName>
    <definedName name="MargemBrutaMKT_04">OLD!$F$69</definedName>
    <definedName name="MargemBrutaMKT_05" localSheetId="1">'078-14 (2)'!$G$69</definedName>
    <definedName name="MargemBrutaMKT_05" localSheetId="4">'140823-1230'!$G$69</definedName>
    <definedName name="MargemBrutaMKT_05" localSheetId="5">'140823-1230 (2)'!$G$69</definedName>
    <definedName name="MargemBrutaMKT_05" localSheetId="3">'PATRICIA MIRRA (2)'!$G$75</definedName>
    <definedName name="MargemBrutaMKT_05">OLD!$G$69</definedName>
    <definedName name="MargemBrutaMKT_06" localSheetId="1">'078-14 (2)'!$H$69</definedName>
    <definedName name="MargemBrutaMKT_06" localSheetId="4">'140823-1230'!$H$69</definedName>
    <definedName name="MargemBrutaMKT_06" localSheetId="5">'140823-1230 (2)'!$H$69</definedName>
    <definedName name="MargemBrutaMKT_06" localSheetId="3">'PATRICIA MIRRA (2)'!$H$75</definedName>
    <definedName name="MargemBrutaMKT_06">OLD!$H$69</definedName>
    <definedName name="MargemBrutaMKT_07" localSheetId="1">'078-14 (2)'!$I$69</definedName>
    <definedName name="MargemBrutaMKT_07" localSheetId="4">'140823-1230'!$I$69</definedName>
    <definedName name="MargemBrutaMKT_07" localSheetId="5">'140823-1230 (2)'!$I$69</definedName>
    <definedName name="MargemBrutaMKT_07" localSheetId="3">'PATRICIA MIRRA (2)'!$I$75</definedName>
    <definedName name="MargemBrutaMKT_07">OLD!$I$69</definedName>
    <definedName name="MargemBrutaMKT_08" localSheetId="1">'078-14 (2)'!$J$69</definedName>
    <definedName name="MargemBrutaMKT_08" localSheetId="4">'140823-1230'!$J$69</definedName>
    <definedName name="MargemBrutaMKT_08" localSheetId="5">'140823-1230 (2)'!$J$69</definedName>
    <definedName name="MargemBrutaMKT_08" localSheetId="3">'PATRICIA MIRRA (2)'!$J$75</definedName>
    <definedName name="MargemBrutaMKT_08">OLD!$J$69</definedName>
    <definedName name="MargemMinimaCompras_01" localSheetId="1">'078-14 (2)'!$C$74</definedName>
    <definedName name="MargemMinimaCompras_01" localSheetId="4">'140823-1230'!$C$81</definedName>
    <definedName name="MargemMinimaCompras_01" localSheetId="5">'140823-1230 (2)'!$C$81</definedName>
    <definedName name="MargemMinimaCompras_01" localSheetId="3">'PATRICIA MIRRA (2)'!$C$87</definedName>
    <definedName name="MargemMinimaCompras_01">OLD!$C$74</definedName>
    <definedName name="MargemMinimaCompras_02" localSheetId="1">'078-14 (2)'!$D$74</definedName>
    <definedName name="MargemMinimaCompras_02" localSheetId="4">'140823-1230'!$D$81</definedName>
    <definedName name="MargemMinimaCompras_02" localSheetId="5">'140823-1230 (2)'!$D$81</definedName>
    <definedName name="MargemMinimaCompras_02" localSheetId="3">'PATRICIA MIRRA (2)'!$D$87</definedName>
    <definedName name="MargemMinimaCompras_02">OLD!$D$74</definedName>
    <definedName name="MargemMinimaCompras_03" localSheetId="1">'078-14 (2)'!$E$74</definedName>
    <definedName name="MargemMinimaCompras_03" localSheetId="4">'140823-1230'!$E$81</definedName>
    <definedName name="MargemMinimaCompras_03" localSheetId="5">'140823-1230 (2)'!$E$81</definedName>
    <definedName name="MargemMinimaCompras_03" localSheetId="3">'PATRICIA MIRRA (2)'!$E$87</definedName>
    <definedName name="MargemMinimaCompras_03">OLD!$E$74</definedName>
    <definedName name="MargemMinimaCompras_04" localSheetId="1">'078-14 (2)'!$F$74</definedName>
    <definedName name="MargemMinimaCompras_04" localSheetId="4">'140823-1230'!$F$81</definedName>
    <definedName name="MargemMinimaCompras_04" localSheetId="5">'140823-1230 (2)'!$F$81</definedName>
    <definedName name="MargemMinimaCompras_04" localSheetId="3">'PATRICIA MIRRA (2)'!$F$87</definedName>
    <definedName name="MargemMinimaCompras_04">OLD!$F$74</definedName>
    <definedName name="MargemMinimaCompras_05" localSheetId="1">'078-14 (2)'!$G$74</definedName>
    <definedName name="MargemMinimaCompras_05" localSheetId="4">'140823-1230'!$G$81</definedName>
    <definedName name="MargemMinimaCompras_05" localSheetId="5">'140823-1230 (2)'!$G$81</definedName>
    <definedName name="MargemMinimaCompras_05" localSheetId="3">'PATRICIA MIRRA (2)'!$G$87</definedName>
    <definedName name="MargemMinimaCompras_05">OLD!$G$74</definedName>
    <definedName name="MargemMinimaCompras_06" localSheetId="1">'078-14 (2)'!$H$74</definedName>
    <definedName name="MargemMinimaCompras_06" localSheetId="4">'140823-1230'!$H$81</definedName>
    <definedName name="MargemMinimaCompras_06" localSheetId="5">'140823-1230 (2)'!$H$81</definedName>
    <definedName name="MargemMinimaCompras_06" localSheetId="3">'PATRICIA MIRRA (2)'!$H$87</definedName>
    <definedName name="MargemMinimaCompras_06">OLD!$H$74</definedName>
    <definedName name="MargemMinimaCompras_07" localSheetId="1">'078-14 (2)'!$I$74</definedName>
    <definedName name="MargemMinimaCompras_07" localSheetId="4">'140823-1230'!$I$81</definedName>
    <definedName name="MargemMinimaCompras_07" localSheetId="5">'140823-1230 (2)'!$I$81</definedName>
    <definedName name="MargemMinimaCompras_07" localSheetId="3">'PATRICIA MIRRA (2)'!$I$87</definedName>
    <definedName name="MargemMinimaCompras_07">OLD!$I$74</definedName>
    <definedName name="MargemMinimaCompras_08" localSheetId="1">'078-14 (2)'!$J$74</definedName>
    <definedName name="MargemMinimaCompras_08" localSheetId="4">'140823-1230'!$J$81</definedName>
    <definedName name="MargemMinimaCompras_08" localSheetId="5">'140823-1230 (2)'!$J$81</definedName>
    <definedName name="MargemMinimaCompras_08" localSheetId="3">'PATRICIA MIRRA (2)'!$J$87</definedName>
    <definedName name="MargemMinimaCompras_08">OLD!$J$74</definedName>
    <definedName name="MargemMKT_01" localSheetId="1">'078-14 (2)'!$C$68</definedName>
    <definedName name="MargemMKT_01" localSheetId="4">'140823-1230'!$C$68</definedName>
    <definedName name="MargemMKT_01" localSheetId="5">'140823-1230 (2)'!$C$68</definedName>
    <definedName name="MargemMKT_01" localSheetId="3">'PATRICIA MIRRA (2)'!$C$74</definedName>
    <definedName name="MargemMKT_01">OLD!$C$68</definedName>
    <definedName name="MargemMKT_02" localSheetId="1">'078-14 (2)'!$D$68</definedName>
    <definedName name="MargemMKT_02" localSheetId="4">'140823-1230'!$D$68</definedName>
    <definedName name="MargemMKT_02" localSheetId="5">'140823-1230 (2)'!$D$68</definedName>
    <definedName name="MargemMKT_02" localSheetId="3">'PATRICIA MIRRA (2)'!$D$74</definedName>
    <definedName name="MargemMKT_02">OLD!$D$68</definedName>
    <definedName name="MargemMKT_03" localSheetId="1">'078-14 (2)'!$E$68</definedName>
    <definedName name="MargemMKT_03" localSheetId="4">'140823-1230'!$E$68</definedName>
    <definedName name="MargemMKT_03" localSheetId="5">'140823-1230 (2)'!$E$68</definedName>
    <definedName name="MargemMKT_03" localSheetId="3">'PATRICIA MIRRA (2)'!$E$74</definedName>
    <definedName name="MargemMKT_03">OLD!$E$68</definedName>
    <definedName name="MargemMKT_04" localSheetId="1">'078-14 (2)'!$F$68</definedName>
    <definedName name="MargemMKT_04" localSheetId="4">'140823-1230'!$F$68</definedName>
    <definedName name="MargemMKT_04" localSheetId="5">'140823-1230 (2)'!$F$68</definedName>
    <definedName name="MargemMKT_04" localSheetId="3">'PATRICIA MIRRA (2)'!$F$74</definedName>
    <definedName name="MargemMKT_04">OLD!$F$68</definedName>
    <definedName name="MargemMKT_05" localSheetId="1">'078-14 (2)'!$G$68</definedName>
    <definedName name="MargemMKT_05" localSheetId="4">'140823-1230'!$G$68</definedName>
    <definedName name="MargemMKT_05" localSheetId="5">'140823-1230 (2)'!$G$68</definedName>
    <definedName name="MargemMKT_05" localSheetId="3">'PATRICIA MIRRA (2)'!$G$74</definedName>
    <definedName name="MargemMKT_05">OLD!$G$68</definedName>
    <definedName name="MargemMKT_06" localSheetId="1">'078-14 (2)'!$H$68</definedName>
    <definedName name="MargemMKT_06" localSheetId="4">'140823-1230'!$H$68</definedName>
    <definedName name="MargemMKT_06" localSheetId="5">'140823-1230 (2)'!$H$68</definedName>
    <definedName name="MargemMKT_06" localSheetId="3">'PATRICIA MIRRA (2)'!$H$74</definedName>
    <definedName name="MargemMKT_06">OLD!$H$68</definedName>
    <definedName name="MargemMKT_07" localSheetId="1">'078-14 (2)'!$I$68</definedName>
    <definedName name="MargemMKT_07" localSheetId="4">'140823-1230'!$I$68</definedName>
    <definedName name="MargemMKT_07" localSheetId="5">'140823-1230 (2)'!$I$68</definedName>
    <definedName name="MargemMKT_07" localSheetId="3">'PATRICIA MIRRA (2)'!$I$74</definedName>
    <definedName name="MargemMKT_07">OLD!$I$68</definedName>
    <definedName name="MargemMKT_08" localSheetId="1">'078-14 (2)'!$J$68</definedName>
    <definedName name="MargemMKT_08" localSheetId="4">'140823-1230'!$J$68</definedName>
    <definedName name="MargemMKT_08" localSheetId="5">'140823-1230 (2)'!$J$68</definedName>
    <definedName name="MargemMKT_08" localSheetId="3">'PATRICIA MIRRA (2)'!$J$74</definedName>
    <definedName name="MargemMKT_08">OLD!$J$68</definedName>
    <definedName name="MOEDA" localSheetId="1">OFFSET('078-14 (2)'!$P$3,0,0,COUNTA('078-14 (2)'!$P:$P)-2,1)</definedName>
    <definedName name="MOEDA" localSheetId="4">OFFSET('140823-1230'!$P$3,0,0,COUNTA('140823-1230'!$P:$P)-2,1)</definedName>
    <definedName name="MOEDA" localSheetId="5">OFFSET('140823-1230 (2)'!$P$3,0,0,COUNTA('140823-1230 (2)'!$P:$P)-2,1)</definedName>
    <definedName name="MOEDA" localSheetId="3">OFFSET('PATRICIA MIRRA (2)'!$P$3,0,0,COUNTA('PATRICIA MIRRA (2)'!$P:$P)-2,1)</definedName>
    <definedName name="MOEDA">OFFSET(OLD!$P$3,0,0,COUNTA(OLD!$P:$P)-2,1)</definedName>
    <definedName name="Moeda_01" localSheetId="1">'078-14 (2)'!$C$20</definedName>
    <definedName name="Moeda_01" localSheetId="4">'140823-1230'!$C$20</definedName>
    <definedName name="Moeda_01" localSheetId="5">'140823-1230 (2)'!$C$20</definedName>
    <definedName name="Moeda_01" localSheetId="3">'PATRICIA MIRRA (2)'!$C$20</definedName>
    <definedName name="Moeda_01">OLD!$C$20</definedName>
    <definedName name="Moeda_02" localSheetId="1">'078-14 (2)'!$D$20</definedName>
    <definedName name="Moeda_02" localSheetId="4">'140823-1230'!$D$20</definedName>
    <definedName name="Moeda_02" localSheetId="5">'140823-1230 (2)'!$D$20</definedName>
    <definedName name="Moeda_02" localSheetId="3">'PATRICIA MIRRA (2)'!$D$20</definedName>
    <definedName name="Moeda_02">OLD!$D$20</definedName>
    <definedName name="Moeda_03" localSheetId="1">'078-14 (2)'!$E$20</definedName>
    <definedName name="Moeda_03" localSheetId="4">'140823-1230'!$E$20</definedName>
    <definedName name="Moeda_03" localSheetId="5">'140823-1230 (2)'!$E$20</definedName>
    <definedName name="Moeda_03" localSheetId="3">'PATRICIA MIRRA (2)'!$E$20</definedName>
    <definedName name="Moeda_03">OLD!$E$20</definedName>
    <definedName name="Moeda_04" localSheetId="1">'078-14 (2)'!$F$20</definedName>
    <definedName name="Moeda_04" localSheetId="4">'140823-1230'!$F$20</definedName>
    <definedName name="Moeda_04" localSheetId="5">'140823-1230 (2)'!$F$20</definedName>
    <definedName name="Moeda_04" localSheetId="3">'PATRICIA MIRRA (2)'!$F$20</definedName>
    <definedName name="Moeda_04">OLD!$F$20</definedName>
    <definedName name="Moeda_05" localSheetId="1">'078-14 (2)'!$G$20</definedName>
    <definedName name="Moeda_05" localSheetId="4">'140823-1230'!$G$20</definedName>
    <definedName name="Moeda_05" localSheetId="5">'140823-1230 (2)'!$G$20</definedName>
    <definedName name="Moeda_05" localSheetId="3">'PATRICIA MIRRA (2)'!$G$20</definedName>
    <definedName name="Moeda_05">OLD!$G$20</definedName>
    <definedName name="Moeda_06" localSheetId="1">'078-14 (2)'!$H$20</definedName>
    <definedName name="Moeda_06" localSheetId="4">'140823-1230'!$H$20</definedName>
    <definedName name="Moeda_06" localSheetId="5">'140823-1230 (2)'!$H$20</definedName>
    <definedName name="Moeda_06" localSheetId="3">'PATRICIA MIRRA (2)'!$H$20</definedName>
    <definedName name="Moeda_06">OLD!$H$20</definedName>
    <definedName name="Moeda_07" localSheetId="1">'078-14 (2)'!$I$20</definedName>
    <definedName name="Moeda_07" localSheetId="4">'140823-1230'!$I$20</definedName>
    <definedName name="Moeda_07" localSheetId="5">'140823-1230 (2)'!$I$20</definedName>
    <definedName name="Moeda_07" localSheetId="3">'PATRICIA MIRRA (2)'!$I$20</definedName>
    <definedName name="Moeda_07">OLD!$I$20</definedName>
    <definedName name="Moeda_08" localSheetId="1">'078-14 (2)'!$J$20</definedName>
    <definedName name="Moeda_08" localSheetId="4">'140823-1230'!$J$20</definedName>
    <definedName name="Moeda_08" localSheetId="5">'140823-1230 (2)'!$J$20</definedName>
    <definedName name="Moeda_08" localSheetId="3">'PATRICIA MIRRA (2)'!$J$20</definedName>
    <definedName name="Moeda_08">OLD!$J$20</definedName>
    <definedName name="NPAGINAS">OFFSET(APOIO!$H$2,0,0,COUNTA(APOIO!$H:$H)-1,1)</definedName>
    <definedName name="PAPEL">OFFSET(APOIO!$G$2,0,0,COUNTA(APOIO!$G:$G)-1,1)</definedName>
    <definedName name="PRECO_VENDA_COMPRAS_01">'140823-1230'!$C$86</definedName>
    <definedName name="PRECO_VENDA_COMPRAS_02">'140823-1230'!$D$86</definedName>
    <definedName name="PRECO_VENDA_COMPRAS_03">'140823-1230'!$E$86</definedName>
    <definedName name="PRECO_VENDA_COMPRAS_04">'140823-1230'!$F$86</definedName>
    <definedName name="PRECO_VENDA_COMPRAS_05">'140823-1230'!$G$86</definedName>
    <definedName name="PRECO_VENDA_COMPRAS_06">'140823-1230'!$H$86</definedName>
    <definedName name="PRECO_VENDA_COMPRAS_07">'140823-1230'!$I$86</definedName>
    <definedName name="PRECO_VENDA_COMPRAS_08">'140823-1230'!$J$86</definedName>
    <definedName name="PRECO_VENDA_GROSS_01" localSheetId="1">'078-14 (2)'!$C$82</definedName>
    <definedName name="PRECO_VENDA_GROSS_01" localSheetId="4">'140823-1230'!$C$71</definedName>
    <definedName name="PRECO_VENDA_GROSS_01" localSheetId="5">'140823-1230 (2)'!$C$71</definedName>
    <definedName name="PRECO_VENDA_GROSS_01" localSheetId="3">'PATRICIA MIRRA (2)'!$C$77</definedName>
    <definedName name="PRECO_VENDA_GROSS_01">OLD!$C$82</definedName>
    <definedName name="PRECO_VENDA_GROSS_02" localSheetId="1">'078-14 (2)'!$D$82</definedName>
    <definedName name="PRECO_VENDA_GROSS_02" localSheetId="4">'140823-1230'!$D$71</definedName>
    <definedName name="PRECO_VENDA_GROSS_02" localSheetId="5">'140823-1230 (2)'!$D$71</definedName>
    <definedName name="PRECO_VENDA_GROSS_02" localSheetId="3">'PATRICIA MIRRA (2)'!$D$77</definedName>
    <definedName name="PRECO_VENDA_GROSS_02">OLD!$D$82</definedName>
    <definedName name="PRECO_VENDA_GROSS_03" localSheetId="1">'078-14 (2)'!$E$82</definedName>
    <definedName name="PRECO_VENDA_GROSS_03" localSheetId="4">'140823-1230'!$E$71</definedName>
    <definedName name="PRECO_VENDA_GROSS_03" localSheetId="5">'140823-1230 (2)'!$E$71</definedName>
    <definedName name="PRECO_VENDA_GROSS_03" localSheetId="3">'PATRICIA MIRRA (2)'!$E$77</definedName>
    <definedName name="PRECO_VENDA_GROSS_03">OLD!$E$82</definedName>
    <definedName name="PRECO_VENDA_GROSS_04" localSheetId="1">'078-14 (2)'!$F$82</definedName>
    <definedName name="PRECO_VENDA_GROSS_04" localSheetId="4">'140823-1230'!$F$71</definedName>
    <definedName name="PRECO_VENDA_GROSS_04" localSheetId="5">'140823-1230 (2)'!$F$71</definedName>
    <definedName name="PRECO_VENDA_GROSS_04" localSheetId="3">'PATRICIA MIRRA (2)'!$F$77</definedName>
    <definedName name="PRECO_VENDA_GROSS_04">OLD!$F$82</definedName>
    <definedName name="PRECO_VENDA_GROSS_05" localSheetId="1">'078-14 (2)'!$G$82</definedName>
    <definedName name="PRECO_VENDA_GROSS_05" localSheetId="4">'140823-1230'!$G$71</definedName>
    <definedName name="PRECO_VENDA_GROSS_05" localSheetId="5">'140823-1230 (2)'!$G$71</definedName>
    <definedName name="PRECO_VENDA_GROSS_05" localSheetId="3">'PATRICIA MIRRA (2)'!$G$77</definedName>
    <definedName name="PRECO_VENDA_GROSS_05">OLD!$G$82</definedName>
    <definedName name="PRECO_VENDA_GROSS_06" localSheetId="1">'078-14 (2)'!$H$82</definedName>
    <definedName name="PRECO_VENDA_GROSS_06" localSheetId="4">'140823-1230'!$H$71</definedName>
    <definedName name="PRECO_VENDA_GROSS_06" localSheetId="5">'140823-1230 (2)'!$H$71</definedName>
    <definedName name="PRECO_VENDA_GROSS_06" localSheetId="3">'PATRICIA MIRRA (2)'!$H$77</definedName>
    <definedName name="PRECO_VENDA_GROSS_06">OLD!$H$82</definedName>
    <definedName name="PRECO_VENDA_GROSS_07" localSheetId="1">'078-14 (2)'!$I$82</definedName>
    <definedName name="PRECO_VENDA_GROSS_07" localSheetId="4">'140823-1230'!$I$71</definedName>
    <definedName name="PRECO_VENDA_GROSS_07" localSheetId="5">'140823-1230 (2)'!$I$71</definedName>
    <definedName name="PRECO_VENDA_GROSS_07" localSheetId="3">'PATRICIA MIRRA (2)'!$I$77</definedName>
    <definedName name="PRECO_VENDA_GROSS_07">OLD!$I$82</definedName>
    <definedName name="PRECO_VENDA_GROSS_08" localSheetId="1">'078-14 (2)'!$J$82</definedName>
    <definedName name="PRECO_VENDA_GROSS_08" localSheetId="4">'140823-1230'!$J$71</definedName>
    <definedName name="PRECO_VENDA_GROSS_08" localSheetId="5">'140823-1230 (2)'!$J$71</definedName>
    <definedName name="PRECO_VENDA_GROSS_08" localSheetId="3">'PATRICIA MIRRA (2)'!$J$77</definedName>
    <definedName name="PRECO_VENDA_GROSS_08">OLD!$J$82</definedName>
    <definedName name="PrecoDeCompras_01" localSheetId="1">'078-14 (2)'!$C$72</definedName>
    <definedName name="PrecoDeCompras_01" localSheetId="4">'140823-1230'!$C$79</definedName>
    <definedName name="PrecoDeCompras_01" localSheetId="5">'140823-1230 (2)'!$C$79</definedName>
    <definedName name="PrecoDeCompras_01" localSheetId="3">'PATRICIA MIRRA (2)'!$C$85</definedName>
    <definedName name="PrecoDeCompras_01">OLD!$C$72</definedName>
    <definedName name="PrecoDeCompras_02" localSheetId="1">'078-14 (2)'!$D$72</definedName>
    <definedName name="PrecoDeCompras_02" localSheetId="4">'140823-1230'!$D$79</definedName>
    <definedName name="PrecoDeCompras_02" localSheetId="5">'140823-1230 (2)'!$D$79</definedName>
    <definedName name="PrecoDeCompras_02" localSheetId="3">'PATRICIA MIRRA (2)'!$D$85</definedName>
    <definedName name="PrecoDeCompras_02">OLD!$D$72</definedName>
    <definedName name="PrecoDeCompras_03" localSheetId="1">'078-14 (2)'!$E$72</definedName>
    <definedName name="PrecoDeCompras_03" localSheetId="4">'140823-1230'!$E$79</definedName>
    <definedName name="PrecoDeCompras_03" localSheetId="5">'140823-1230 (2)'!$E$79</definedName>
    <definedName name="PrecoDeCompras_03" localSheetId="3">'PATRICIA MIRRA (2)'!$E$85</definedName>
    <definedName name="PrecoDeCompras_03">OLD!$E$72</definedName>
    <definedName name="PrecoDeCompras_04" localSheetId="1">'078-14 (2)'!$F$72</definedName>
    <definedName name="PrecoDeCompras_04" localSheetId="4">'140823-1230'!$F$79</definedName>
    <definedName name="PrecoDeCompras_04" localSheetId="5">'140823-1230 (2)'!$F$79</definedName>
    <definedName name="PrecoDeCompras_04" localSheetId="3">'PATRICIA MIRRA (2)'!$F$85</definedName>
    <definedName name="PrecoDeCompras_04">OLD!$F$72</definedName>
    <definedName name="PrecoDeCompras_05" localSheetId="1">'078-14 (2)'!$G$72</definedName>
    <definedName name="PrecoDeCompras_05" localSheetId="4">'140823-1230'!$G$79</definedName>
    <definedName name="PrecoDeCompras_05" localSheetId="5">'140823-1230 (2)'!$G$79</definedName>
    <definedName name="PrecoDeCompras_05" localSheetId="3">'PATRICIA MIRRA (2)'!$G$85</definedName>
    <definedName name="PrecoDeCompras_05">OLD!$G$72</definedName>
    <definedName name="PrecoDeCompras_06" localSheetId="1">'078-14 (2)'!$H$72</definedName>
    <definedName name="PrecoDeCompras_06" localSheetId="4">'140823-1230'!$H$79</definedName>
    <definedName name="PrecoDeCompras_06" localSheetId="5">'140823-1230 (2)'!$H$79</definedName>
    <definedName name="PrecoDeCompras_06" localSheetId="3">'PATRICIA MIRRA (2)'!$H$85</definedName>
    <definedName name="PrecoDeCompras_06">OLD!$H$72</definedName>
    <definedName name="PrecoDeCompras_07" localSheetId="1">'078-14 (2)'!$I$72</definedName>
    <definedName name="PrecoDeCompras_07" localSheetId="4">'140823-1230'!$I$79</definedName>
    <definedName name="PrecoDeCompras_07" localSheetId="5">'140823-1230 (2)'!$I$79</definedName>
    <definedName name="PrecoDeCompras_07" localSheetId="3">'PATRICIA MIRRA (2)'!$I$85</definedName>
    <definedName name="PrecoDeCompras_07">OLD!$I$72</definedName>
    <definedName name="PrecoDeCompras_08" localSheetId="1">'078-14 (2)'!$J$72</definedName>
    <definedName name="PrecoDeCompras_08" localSheetId="4">'140823-1230'!$J$79</definedName>
    <definedName name="PrecoDeCompras_08" localSheetId="5">'140823-1230 (2)'!$J$79</definedName>
    <definedName name="PrecoDeCompras_08" localSheetId="3">'PATRICIA MIRRA (2)'!$J$85</definedName>
    <definedName name="PrecoDeCompras_08">OLD!$J$72</definedName>
    <definedName name="PrecoMKT_01" localSheetId="1">'078-14 (2)'!$C$65</definedName>
    <definedName name="PrecoMKT_01" localSheetId="4">'140823-1230'!$C$65</definedName>
    <definedName name="PrecoMKT_01" localSheetId="5">'140823-1230 (2)'!$C$65</definedName>
    <definedName name="PrecoMKT_01" localSheetId="3">'PATRICIA MIRRA (2)'!$C$71</definedName>
    <definedName name="PrecoMKT_01">OLD!$C$65</definedName>
    <definedName name="PrecoMKT_02" localSheetId="1">'078-14 (2)'!$D$65</definedName>
    <definedName name="PrecoMKT_02" localSheetId="4">'140823-1230'!$D$65</definedName>
    <definedName name="PrecoMKT_02" localSheetId="5">'140823-1230 (2)'!$D$65</definedName>
    <definedName name="PrecoMKT_02" localSheetId="3">'PATRICIA MIRRA (2)'!$D$71</definedName>
    <definedName name="PrecoMKT_02">OLD!$D$65</definedName>
    <definedName name="PrecoMKT_03" localSheetId="1">'078-14 (2)'!$E$65</definedName>
    <definedName name="PrecoMKT_03" localSheetId="4">'140823-1230'!$E$65</definedName>
    <definedName name="PrecoMKT_03" localSheetId="5">'140823-1230 (2)'!$E$65</definedName>
    <definedName name="PrecoMKT_03" localSheetId="3">'PATRICIA MIRRA (2)'!$E$71</definedName>
    <definedName name="PrecoMKT_03">OLD!$E$65</definedName>
    <definedName name="PrecoMKT_04" localSheetId="1">'078-14 (2)'!$F$65</definedName>
    <definedName name="PrecoMKT_04" localSheetId="4">'140823-1230'!$F$65</definedName>
    <definedName name="PrecoMKT_04" localSheetId="5">'140823-1230 (2)'!$F$65</definedName>
    <definedName name="PrecoMKT_04" localSheetId="3">'PATRICIA MIRRA (2)'!$F$71</definedName>
    <definedName name="PrecoMKT_04">OLD!$F$65</definedName>
    <definedName name="PrecoMKT_05" localSheetId="1">'078-14 (2)'!$G$65</definedName>
    <definedName name="PrecoMKT_05" localSheetId="4">'140823-1230'!$G$65</definedName>
    <definedName name="PrecoMKT_05" localSheetId="5">'140823-1230 (2)'!$G$65</definedName>
    <definedName name="PrecoMKT_05" localSheetId="3">'PATRICIA MIRRA (2)'!$G$71</definedName>
    <definedName name="PrecoMKT_05">OLD!$G$65</definedName>
    <definedName name="PrecoMKT_06" localSheetId="1">'078-14 (2)'!$H$65</definedName>
    <definedName name="PrecoMKT_06" localSheetId="4">'140823-1230'!$H$65</definedName>
    <definedName name="PrecoMKT_06" localSheetId="5">'140823-1230 (2)'!$H$65</definedName>
    <definedName name="PrecoMKT_06" localSheetId="3">'PATRICIA MIRRA (2)'!$H$71</definedName>
    <definedName name="PrecoMKT_06">OLD!$H$65</definedName>
    <definedName name="PrecoMKT_07" localSheetId="1">'078-14 (2)'!$I$65</definedName>
    <definedName name="PrecoMKT_07" localSheetId="4">'140823-1230'!$I$65</definedName>
    <definedName name="PrecoMKT_07" localSheetId="5">'140823-1230 (2)'!$I$65</definedName>
    <definedName name="PrecoMKT_07" localSheetId="3">'PATRICIA MIRRA (2)'!$I$71</definedName>
    <definedName name="PrecoMKT_07">OLD!$I$65</definedName>
    <definedName name="PrecoMKT_08" localSheetId="1">'078-14 (2)'!$J$65</definedName>
    <definedName name="PrecoMKT_08" localSheetId="4">'140823-1230'!$J$65</definedName>
    <definedName name="PrecoMKT_08" localSheetId="5">'140823-1230 (2)'!$J$65</definedName>
    <definedName name="PrecoMKT_08" localSheetId="3">'PATRICIA MIRRA (2)'!$J$71</definedName>
    <definedName name="PrecoMKT_08">OLD!$J$65</definedName>
    <definedName name="PrecoTotal_01" localSheetId="1">'078-14 (2)'!$C$73</definedName>
    <definedName name="PrecoTotal_01" localSheetId="4">'140823-1230'!$C$80</definedName>
    <definedName name="PrecoTotal_01" localSheetId="5">'140823-1230 (2)'!$C$80</definedName>
    <definedName name="PrecoTotal_01" localSheetId="3">'PATRICIA MIRRA (2)'!$C$86</definedName>
    <definedName name="PrecoTotal_01">OLD!$C$73</definedName>
    <definedName name="PrecoTotal_02" localSheetId="1">'078-14 (2)'!$D$73</definedName>
    <definedName name="PrecoTotal_02" localSheetId="4">'140823-1230'!$D$80</definedName>
    <definedName name="PrecoTotal_02" localSheetId="5">'140823-1230 (2)'!$D$80</definedName>
    <definedName name="PrecoTotal_02" localSheetId="3">'PATRICIA MIRRA (2)'!$D$86</definedName>
    <definedName name="PrecoTotal_02">OLD!$D$73</definedName>
    <definedName name="PrecoTotal_03" localSheetId="1">'078-14 (2)'!$E$73</definedName>
    <definedName name="PrecoTotal_03" localSheetId="4">'140823-1230'!$E$80</definedName>
    <definedName name="PrecoTotal_03" localSheetId="5">'140823-1230 (2)'!$E$80</definedName>
    <definedName name="PrecoTotal_03" localSheetId="3">'PATRICIA MIRRA (2)'!$E$86</definedName>
    <definedName name="PrecoTotal_03">OLD!$E$73</definedName>
    <definedName name="PrecoTotal_04" localSheetId="1">'078-14 (2)'!$F$73</definedName>
    <definedName name="PrecoTotal_04" localSheetId="4">'140823-1230'!$F$80</definedName>
    <definedName name="PrecoTotal_04" localSheetId="5">'140823-1230 (2)'!$F$80</definedName>
    <definedName name="PrecoTotal_04" localSheetId="3">'PATRICIA MIRRA (2)'!$F$86</definedName>
    <definedName name="PrecoTotal_04">OLD!$F$73</definedName>
    <definedName name="PrecoTotal_05" localSheetId="1">'078-14 (2)'!$G$73</definedName>
    <definedName name="PrecoTotal_05" localSheetId="4">'140823-1230'!$G$80</definedName>
    <definedName name="PrecoTotal_05" localSheetId="5">'140823-1230 (2)'!$G$80</definedName>
    <definedName name="PrecoTotal_05" localSheetId="3">'PATRICIA MIRRA (2)'!$G$86</definedName>
    <definedName name="PrecoTotal_05">OLD!$G$73</definedName>
    <definedName name="PrecoTotal_06" localSheetId="1">'078-14 (2)'!$H$73</definedName>
    <definedName name="PrecoTotal_06" localSheetId="4">'140823-1230'!$H$80</definedName>
    <definedName name="PrecoTotal_06" localSheetId="5">'140823-1230 (2)'!$H$80</definedName>
    <definedName name="PrecoTotal_06" localSheetId="3">'PATRICIA MIRRA (2)'!$H$86</definedName>
    <definedName name="PrecoTotal_06">OLD!$H$73</definedName>
    <definedName name="PrecoTotal_07" localSheetId="1">'078-14 (2)'!$I$73</definedName>
    <definedName name="PrecoTotal_07" localSheetId="4">'140823-1230'!$I$80</definedName>
    <definedName name="PrecoTotal_07" localSheetId="5">'140823-1230 (2)'!$I$80</definedName>
    <definedName name="PrecoTotal_07" localSheetId="3">'PATRICIA MIRRA (2)'!$I$86</definedName>
    <definedName name="PrecoTotal_07">OLD!$I$73</definedName>
    <definedName name="PrecoTotal_08" localSheetId="1">'078-14 (2)'!$J$73</definedName>
    <definedName name="PrecoTotal_08" localSheetId="4">'140823-1230'!$J$80</definedName>
    <definedName name="PrecoTotal_08" localSheetId="5">'140823-1230 (2)'!$J$80</definedName>
    <definedName name="PrecoTotal_08" localSheetId="3">'PATRICIA MIRRA (2)'!$J$86</definedName>
    <definedName name="PrecoTotal_08">OLD!$J$73</definedName>
    <definedName name="PrecoTotalMKT_01" localSheetId="1">'078-14 (2)'!$C$66</definedName>
    <definedName name="PrecoTotalMKT_01" localSheetId="4">'140823-1230'!$C$66</definedName>
    <definedName name="PrecoTotalMKT_01" localSheetId="5">'140823-1230 (2)'!$C$66</definedName>
    <definedName name="PrecoTotalMKT_01" localSheetId="3">'PATRICIA MIRRA (2)'!$C$72</definedName>
    <definedName name="PrecoTotalMKT_01">OLD!$C$66</definedName>
    <definedName name="PrecoTotalMKT_02" localSheetId="1">'078-14 (2)'!$D$66</definedName>
    <definedName name="PrecoTotalMKT_02" localSheetId="4">'140823-1230'!$D$66</definedName>
    <definedName name="PrecoTotalMKT_02" localSheetId="5">'140823-1230 (2)'!$D$66</definedName>
    <definedName name="PrecoTotalMKT_02" localSheetId="3">'PATRICIA MIRRA (2)'!$D$72</definedName>
    <definedName name="PrecoTotalMKT_02">OLD!$D$66</definedName>
    <definedName name="PrecoTotalMKT_03" localSheetId="1">'078-14 (2)'!$E$66</definedName>
    <definedName name="PrecoTotalMKT_03" localSheetId="4">'140823-1230'!$E$66</definedName>
    <definedName name="PrecoTotalMKT_03" localSheetId="5">'140823-1230 (2)'!$E$66</definedName>
    <definedName name="PrecoTotalMKT_03" localSheetId="3">'PATRICIA MIRRA (2)'!$E$72</definedName>
    <definedName name="PrecoTotalMKT_03">OLD!$E$66</definedName>
    <definedName name="PrecoTotalMKT_04" localSheetId="1">'078-14 (2)'!$F$66</definedName>
    <definedName name="PrecoTotalMKT_04" localSheetId="4">'140823-1230'!$F$66</definedName>
    <definedName name="PrecoTotalMKT_04" localSheetId="5">'140823-1230 (2)'!$F$66</definedName>
    <definedName name="PrecoTotalMKT_04" localSheetId="3">'PATRICIA MIRRA (2)'!$F$72</definedName>
    <definedName name="PrecoTotalMKT_04">OLD!$F$66</definedName>
    <definedName name="PrecoTotalMKT_05" localSheetId="1">'078-14 (2)'!$G$66</definedName>
    <definedName name="PrecoTotalMKT_05" localSheetId="4">'140823-1230'!$G$66</definedName>
    <definedName name="PrecoTotalMKT_05" localSheetId="5">'140823-1230 (2)'!$G$66</definedName>
    <definedName name="PrecoTotalMKT_05" localSheetId="3">'PATRICIA MIRRA (2)'!$G$72</definedName>
    <definedName name="PrecoTotalMKT_05">OLD!$G$66</definedName>
    <definedName name="PrecoTotalMKT_06" localSheetId="1">'078-14 (2)'!$H$66</definedName>
    <definedName name="PrecoTotalMKT_06" localSheetId="4">'140823-1230'!$H$66</definedName>
    <definedName name="PrecoTotalMKT_06" localSheetId="5">'140823-1230 (2)'!$H$66</definedName>
    <definedName name="PrecoTotalMKT_06" localSheetId="3">'PATRICIA MIRRA (2)'!$H$72</definedName>
    <definedName name="PrecoTotalMKT_06">OLD!$H$66</definedName>
    <definedName name="PrecoTotalMKT_07" localSheetId="1">'078-14 (2)'!$I$66</definedName>
    <definedName name="PrecoTotalMKT_07" localSheetId="4">'140823-1230'!$I$66</definedName>
    <definedName name="PrecoTotalMKT_07" localSheetId="5">'140823-1230 (2)'!$I$66</definedName>
    <definedName name="PrecoTotalMKT_07" localSheetId="3">'PATRICIA MIRRA (2)'!$I$72</definedName>
    <definedName name="PrecoTotalMKT_07">OLD!$I$66</definedName>
    <definedName name="PrecoTotalMKT_08" localSheetId="1">'078-14 (2)'!$J$66</definedName>
    <definedName name="PrecoTotalMKT_08" localSheetId="4">'140823-1230'!$J$66</definedName>
    <definedName name="PrecoTotalMKT_08" localSheetId="5">'140823-1230 (2)'!$J$66</definedName>
    <definedName name="PrecoTotalMKT_08" localSheetId="3">'PATRICIA MIRRA (2)'!$J$72</definedName>
    <definedName name="PrecoTotalMKT_08">OLD!$J$66</definedName>
    <definedName name="PRODUTO" localSheetId="1">'078-14 (2)'!$C$79</definedName>
    <definedName name="PRODUTO" localSheetId="4">'140823-1230'!$C$93</definedName>
    <definedName name="PRODUTO" localSheetId="5">'140823-1230 (2)'!$C$93</definedName>
    <definedName name="PRODUTO" localSheetId="3">'PATRICIA MIRRA (2)'!$C$96</definedName>
    <definedName name="PRODUTO">OLD!$C$79</definedName>
    <definedName name="Projetos" localSheetId="1">'078-14 (2)'!$C$13:$J$23</definedName>
    <definedName name="Projetos" localSheetId="4">'140823-1230'!$C$13:$J$23</definedName>
    <definedName name="Projetos" localSheetId="5">'140823-1230 (2)'!$C$13:$J$23</definedName>
    <definedName name="Projetos" localSheetId="3">'PATRICIA MIRRA (2)'!$C$13:$J$23</definedName>
    <definedName name="Projetos">OLD!$C$13:$J$23</definedName>
    <definedName name="PUBLISHER">OFFSET(APOIO!$B$2,0,0,COUNTA(APOIO!$B:$B)-1,1)</definedName>
    <definedName name="ROYALTY_ESPECIE_01" localSheetId="1">'078-14 (2)'!$C$22</definedName>
    <definedName name="ROYALTY_ESPECIE_01" localSheetId="4">'140823-1230'!$C$22</definedName>
    <definedName name="ROYALTY_ESPECIE_01" localSheetId="5">'140823-1230 (2)'!$C$22</definedName>
    <definedName name="ROYALTY_ESPECIE_01" localSheetId="3">'PATRICIA MIRRA (2)'!$C$22</definedName>
    <definedName name="ROYALTY_ESPECIE_01">OLD!$C$22</definedName>
    <definedName name="ROYALTY_ESPECIE_02" localSheetId="1">'078-14 (2)'!$D$22</definedName>
    <definedName name="ROYALTY_ESPECIE_02" localSheetId="4">'140823-1230'!$D$22</definedName>
    <definedName name="ROYALTY_ESPECIE_02" localSheetId="5">'140823-1230 (2)'!$D$22</definedName>
    <definedName name="ROYALTY_ESPECIE_02" localSheetId="3">'PATRICIA MIRRA (2)'!$D$22</definedName>
    <definedName name="ROYALTY_ESPECIE_02">OLD!$D$22</definedName>
    <definedName name="ROYALTY_ESPECIE_03" localSheetId="1">'078-14 (2)'!$E$22</definedName>
    <definedName name="ROYALTY_ESPECIE_03" localSheetId="4">'140823-1230'!$E$22</definedName>
    <definedName name="ROYALTY_ESPECIE_03" localSheetId="5">'140823-1230 (2)'!$E$22</definedName>
    <definedName name="ROYALTY_ESPECIE_03" localSheetId="3">'PATRICIA MIRRA (2)'!$E$22</definedName>
    <definedName name="ROYALTY_ESPECIE_03">OLD!$E$22</definedName>
    <definedName name="ROYALTY_ESPECIE_04" localSheetId="1">'078-14 (2)'!$F$22</definedName>
    <definedName name="ROYALTY_ESPECIE_04" localSheetId="4">'140823-1230'!$F$22</definedName>
    <definedName name="ROYALTY_ESPECIE_04" localSheetId="5">'140823-1230 (2)'!$F$22</definedName>
    <definedName name="ROYALTY_ESPECIE_04" localSheetId="3">'PATRICIA MIRRA (2)'!$F$22</definedName>
    <definedName name="ROYALTY_ESPECIE_04">OLD!$F$22</definedName>
    <definedName name="ROYALTY_ESPECIE_05" localSheetId="1">'078-14 (2)'!$G$22</definedName>
    <definedName name="ROYALTY_ESPECIE_05" localSheetId="4">'140823-1230'!$G$22</definedName>
    <definedName name="ROYALTY_ESPECIE_05" localSheetId="5">'140823-1230 (2)'!$G$22</definedName>
    <definedName name="ROYALTY_ESPECIE_05" localSheetId="3">'PATRICIA MIRRA (2)'!$G$22</definedName>
    <definedName name="ROYALTY_ESPECIE_05">OLD!$G$22</definedName>
    <definedName name="ROYALTY_ESPECIE_06" localSheetId="1">'078-14 (2)'!$H$22</definedName>
    <definedName name="ROYALTY_ESPECIE_06" localSheetId="4">'140823-1230'!$H$22</definedName>
    <definedName name="ROYALTY_ESPECIE_06" localSheetId="5">'140823-1230 (2)'!$H$22</definedName>
    <definedName name="ROYALTY_ESPECIE_06" localSheetId="3">'PATRICIA MIRRA (2)'!$H$22</definedName>
    <definedName name="ROYALTY_ESPECIE_06">OLD!$H$22</definedName>
    <definedName name="ROYALTY_ESPECIE_07" localSheetId="1">'078-14 (2)'!$I$22</definedName>
    <definedName name="ROYALTY_ESPECIE_07" localSheetId="4">'140823-1230'!$I$22</definedName>
    <definedName name="ROYALTY_ESPECIE_07" localSheetId="5">'140823-1230 (2)'!$I$22</definedName>
    <definedName name="ROYALTY_ESPECIE_07" localSheetId="3">'PATRICIA MIRRA (2)'!$I$22</definedName>
    <definedName name="ROYALTY_ESPECIE_07">OLD!$I$22</definedName>
    <definedName name="ROYALTY_ESPECIE_08" localSheetId="1">'078-14 (2)'!$J$22</definedName>
    <definedName name="ROYALTY_ESPECIE_08" localSheetId="4">'140823-1230'!$J$22</definedName>
    <definedName name="ROYALTY_ESPECIE_08" localSheetId="5">'140823-1230 (2)'!$J$22</definedName>
    <definedName name="ROYALTY_ESPECIE_08" localSheetId="3">'PATRICIA MIRRA (2)'!$J$22</definedName>
    <definedName name="ROYALTY_ESPECIE_08">OLD!$J$22</definedName>
    <definedName name="ROYALTY_PERCENTUAL_01" localSheetId="1">'078-14 (2)'!$C$21</definedName>
    <definedName name="ROYALTY_PERCENTUAL_01" localSheetId="4">'140823-1230'!$C$21</definedName>
    <definedName name="ROYALTY_PERCENTUAL_01" localSheetId="5">'140823-1230 (2)'!$C$21</definedName>
    <definedName name="ROYALTY_PERCENTUAL_01" localSheetId="3">'PATRICIA MIRRA (2)'!$C$21</definedName>
    <definedName name="ROYALTY_PERCENTUAL_01">OLD!$C$21</definedName>
    <definedName name="ROYALTY_PERCENTUAL_02" localSheetId="1">'078-14 (2)'!$D$21</definedName>
    <definedName name="ROYALTY_PERCENTUAL_02" localSheetId="4">'140823-1230'!$D$21</definedName>
    <definedName name="ROYALTY_PERCENTUAL_02" localSheetId="5">'140823-1230 (2)'!$D$21</definedName>
    <definedName name="ROYALTY_PERCENTUAL_02" localSheetId="3">'PATRICIA MIRRA (2)'!$D$21</definedName>
    <definedName name="ROYALTY_PERCENTUAL_02">OLD!$D$21</definedName>
    <definedName name="ROYALTY_PERCENTUAL_03" localSheetId="1">'078-14 (2)'!$E$21</definedName>
    <definedName name="ROYALTY_PERCENTUAL_03" localSheetId="4">'140823-1230'!$E$21</definedName>
    <definedName name="ROYALTY_PERCENTUAL_03" localSheetId="5">'140823-1230 (2)'!$E$21</definedName>
    <definedName name="ROYALTY_PERCENTUAL_03" localSheetId="3">'PATRICIA MIRRA (2)'!$E$21</definedName>
    <definedName name="ROYALTY_PERCENTUAL_03">OLD!$E$21</definedName>
    <definedName name="ROYALTY_PERCENTUAL_04" localSheetId="1">'078-14 (2)'!$F$21</definedName>
    <definedName name="ROYALTY_PERCENTUAL_04" localSheetId="4">'140823-1230'!$F$21</definedName>
    <definedName name="ROYALTY_PERCENTUAL_04" localSheetId="5">'140823-1230 (2)'!$F$21</definedName>
    <definedName name="ROYALTY_PERCENTUAL_04" localSheetId="3">'PATRICIA MIRRA (2)'!$F$21</definedName>
    <definedName name="ROYALTY_PERCENTUAL_04">OLD!$F$21</definedName>
    <definedName name="ROYALTY_PERCENTUAL_05" localSheetId="1">'078-14 (2)'!$G$21</definedName>
    <definedName name="ROYALTY_PERCENTUAL_05" localSheetId="4">'140823-1230'!$G$21</definedName>
    <definedName name="ROYALTY_PERCENTUAL_05" localSheetId="5">'140823-1230 (2)'!$G$21</definedName>
    <definedName name="ROYALTY_PERCENTUAL_05" localSheetId="3">'PATRICIA MIRRA (2)'!$G$21</definedName>
    <definedName name="ROYALTY_PERCENTUAL_05">OLD!$G$21</definedName>
    <definedName name="ROYALTY_PERCENTUAL_06" localSheetId="1">'078-14 (2)'!$H$21</definedName>
    <definedName name="ROYALTY_PERCENTUAL_06" localSheetId="4">'140823-1230'!$H$21</definedName>
    <definedName name="ROYALTY_PERCENTUAL_06" localSheetId="5">'140823-1230 (2)'!$H$21</definedName>
    <definedName name="ROYALTY_PERCENTUAL_06" localSheetId="3">'PATRICIA MIRRA (2)'!$H$21</definedName>
    <definedName name="ROYALTY_PERCENTUAL_06">OLD!$H$21</definedName>
    <definedName name="ROYALTY_PERCENTUAL_07" localSheetId="1">'078-14 (2)'!$I$21</definedName>
    <definedName name="ROYALTY_PERCENTUAL_07" localSheetId="4">'140823-1230'!$I$21</definedName>
    <definedName name="ROYALTY_PERCENTUAL_07" localSheetId="5">'140823-1230 (2)'!$I$21</definedName>
    <definedName name="ROYALTY_PERCENTUAL_07" localSheetId="3">'PATRICIA MIRRA (2)'!$I$21</definedName>
    <definedName name="ROYALTY_PERCENTUAL_07">OLD!$I$21</definedName>
    <definedName name="ROYALTY_PERCENTUAL_08" localSheetId="1">'078-14 (2)'!$J$21</definedName>
    <definedName name="ROYALTY_PERCENTUAL_08" localSheetId="4">'140823-1230'!$J$21</definedName>
    <definedName name="ROYALTY_PERCENTUAL_08" localSheetId="5">'140823-1230 (2)'!$J$21</definedName>
    <definedName name="ROYALTY_PERCENTUAL_08" localSheetId="3">'PATRICIA MIRRA (2)'!$J$21</definedName>
    <definedName name="ROYALTY_PERCENTUAL_08">OLD!$J$21</definedName>
    <definedName name="SERVICO" localSheetId="1">'078-14 (2)'!$C$80</definedName>
    <definedName name="SERVICO" localSheetId="4">'140823-1230'!$C$94</definedName>
    <definedName name="SERVICO" localSheetId="5">'140823-1230 (2)'!$C$94</definedName>
    <definedName name="SERVICO" localSheetId="3">'PATRICIA MIRRA (2)'!$C$97</definedName>
    <definedName name="SERVICO">OLD!$C$80</definedName>
    <definedName name="SomaCustos_01" localSheetId="1">'078-14 (2)'!$C$58</definedName>
    <definedName name="SomaCustos_01" localSheetId="4">'140823-1230'!$C$58</definedName>
    <definedName name="SomaCustos_01" localSheetId="5">'140823-1230 (2)'!$C$58</definedName>
    <definedName name="SomaCustos_01" localSheetId="3">'PATRICIA MIRRA (2)'!$C$64</definedName>
    <definedName name="SomaCustos_01">OLD!$C$58</definedName>
    <definedName name="SomaCustos_02" localSheetId="1">'078-14 (2)'!$D$58</definedName>
    <definedName name="SomaCustos_02" localSheetId="4">'140823-1230'!$D$58</definedName>
    <definedName name="SomaCustos_02" localSheetId="5">'140823-1230 (2)'!$D$58</definedName>
    <definedName name="SomaCustos_02" localSheetId="3">'PATRICIA MIRRA (2)'!$D$64</definedName>
    <definedName name="SomaCustos_02">OLD!$D$58</definedName>
    <definedName name="SomaCustos_03" localSheetId="1">'078-14 (2)'!$E$58</definedName>
    <definedName name="SomaCustos_03" localSheetId="4">'140823-1230'!$E$58</definedName>
    <definedName name="SomaCustos_03" localSheetId="5">'140823-1230 (2)'!$E$58</definedName>
    <definedName name="SomaCustos_03" localSheetId="3">'PATRICIA MIRRA (2)'!$E$64</definedName>
    <definedName name="SomaCustos_03">OLD!$E$58</definedName>
    <definedName name="SomaCustos_04" localSheetId="1">'078-14 (2)'!$F$58</definedName>
    <definedName name="SomaCustos_04" localSheetId="4">'140823-1230'!$F$58</definedName>
    <definedName name="SomaCustos_04" localSheetId="5">'140823-1230 (2)'!$F$58</definedName>
    <definedName name="SomaCustos_04" localSheetId="3">'PATRICIA MIRRA (2)'!$F$64</definedName>
    <definedName name="SomaCustos_04">OLD!$F$58</definedName>
    <definedName name="SomaCustos_05" localSheetId="1">'078-14 (2)'!$G$58</definedName>
    <definedName name="SomaCustos_05" localSheetId="4">'140823-1230'!$G$58</definedName>
    <definedName name="SomaCustos_05" localSheetId="5">'140823-1230 (2)'!$G$58</definedName>
    <definedName name="SomaCustos_05" localSheetId="3">'PATRICIA MIRRA (2)'!$G$64</definedName>
    <definedName name="SomaCustos_05">OLD!$G$58</definedName>
    <definedName name="SomaCustos_06" localSheetId="1">'078-14 (2)'!$H$58</definedName>
    <definedName name="SomaCustos_06" localSheetId="4">'140823-1230'!$H$58</definedName>
    <definedName name="SomaCustos_06" localSheetId="5">'140823-1230 (2)'!$H$58</definedName>
    <definedName name="SomaCustos_06" localSheetId="3">'PATRICIA MIRRA (2)'!$H$64</definedName>
    <definedName name="SomaCustos_06">OLD!$H$58</definedName>
    <definedName name="SomaCustos_07" localSheetId="1">'078-14 (2)'!$I$58</definedName>
    <definedName name="SomaCustos_07" localSheetId="4">'140823-1230'!$I$58</definedName>
    <definedName name="SomaCustos_07" localSheetId="5">'140823-1230 (2)'!$I$58</definedName>
    <definedName name="SomaCustos_07" localSheetId="3">'PATRICIA MIRRA (2)'!$I$64</definedName>
    <definedName name="SomaCustos_07">OLD!$I$58</definedName>
    <definedName name="SomaCustos_08" localSheetId="1">'078-14 (2)'!$J$58</definedName>
    <definedName name="SomaCustos_08" localSheetId="4">'140823-1230'!$J$58</definedName>
    <definedName name="SomaCustos_08" localSheetId="5">'140823-1230 (2)'!$J$58</definedName>
    <definedName name="SomaCustos_08" localSheetId="3">'PATRICIA MIRRA (2)'!$J$64</definedName>
    <definedName name="SomaCustos_08">OLD!$J$58</definedName>
    <definedName name="TIPO">OFFSET(APOIO!$F$2,0,0,COUNTA(APOIO!$F:$F)-1,1)</definedName>
    <definedName name="TIRAGEM_01" localSheetId="1">'078-14 (2)'!$C$60</definedName>
    <definedName name="TIRAGEM_01" localSheetId="4">'140823-1230'!$C$60</definedName>
    <definedName name="TIRAGEM_01" localSheetId="5">'140823-1230 (2)'!$C$60</definedName>
    <definedName name="TIRAGEM_01" localSheetId="3">'PATRICIA MIRRA (2)'!$C$66</definedName>
    <definedName name="TIRAGEM_01">OLD!$C$60</definedName>
    <definedName name="TIRAGEM_02" localSheetId="1">'078-14 (2)'!$D$60</definedName>
    <definedName name="TIRAGEM_02" localSheetId="4">'140823-1230'!$D$60</definedName>
    <definedName name="TIRAGEM_02" localSheetId="5">'140823-1230 (2)'!$D$60</definedName>
    <definedName name="TIRAGEM_02" localSheetId="3">'PATRICIA MIRRA (2)'!$D$66</definedName>
    <definedName name="TIRAGEM_02">OLD!$D$60</definedName>
    <definedName name="TIRAGEM_03" localSheetId="1">'078-14 (2)'!$E$60</definedName>
    <definedName name="TIRAGEM_03" localSheetId="4">'140823-1230'!$E$60</definedName>
    <definedName name="TIRAGEM_03" localSheetId="5">'140823-1230 (2)'!$E$60</definedName>
    <definedName name="TIRAGEM_03" localSheetId="3">'PATRICIA MIRRA (2)'!$E$66</definedName>
    <definedName name="TIRAGEM_03">OLD!$E$60</definedName>
    <definedName name="TIRAGEM_04" localSheetId="1">'078-14 (2)'!$F$60</definedName>
    <definedName name="TIRAGEM_04" localSheetId="4">'140823-1230'!$F$60</definedName>
    <definedName name="TIRAGEM_04" localSheetId="5">'140823-1230 (2)'!$F$60</definedName>
    <definedName name="TIRAGEM_04" localSheetId="3">'PATRICIA MIRRA (2)'!$F$66</definedName>
    <definedName name="TIRAGEM_04">OLD!$F$60</definedName>
    <definedName name="TIRAGEM_05" localSheetId="1">'078-14 (2)'!$G$60</definedName>
    <definedName name="TIRAGEM_05" localSheetId="4">'140823-1230'!$G$60</definedName>
    <definedName name="TIRAGEM_05" localSheetId="5">'140823-1230 (2)'!$G$60</definedName>
    <definedName name="TIRAGEM_05" localSheetId="3">'PATRICIA MIRRA (2)'!$G$66</definedName>
    <definedName name="TIRAGEM_05">OLD!$G$60</definedName>
    <definedName name="TIRAGEM_06" localSheetId="1">'078-14 (2)'!$H$60</definedName>
    <definedName name="TIRAGEM_06" localSheetId="4">'140823-1230'!$H$60</definedName>
    <definedName name="TIRAGEM_06" localSheetId="5">'140823-1230 (2)'!$H$60</definedName>
    <definedName name="TIRAGEM_06" localSheetId="3">'PATRICIA MIRRA (2)'!$H$66</definedName>
    <definedName name="TIRAGEM_06">OLD!$H$60</definedName>
    <definedName name="TIRAGEM_07" localSheetId="1">'078-14 (2)'!$I$60</definedName>
    <definedName name="TIRAGEM_07" localSheetId="4">'140823-1230'!$I$60</definedName>
    <definedName name="TIRAGEM_07" localSheetId="5">'140823-1230 (2)'!$I$60</definedName>
    <definedName name="TIRAGEM_07" localSheetId="3">'PATRICIA MIRRA (2)'!$I$66</definedName>
    <definedName name="TIRAGEM_07">OLD!$I$60</definedName>
    <definedName name="TIRAGEM_08" localSheetId="1">'078-14 (2)'!$J$60</definedName>
    <definedName name="TIRAGEM_08" localSheetId="4">'140823-1230'!$J$60</definedName>
    <definedName name="TIRAGEM_08" localSheetId="5">'140823-1230 (2)'!$J$60</definedName>
    <definedName name="TIRAGEM_08" localSheetId="3">'PATRICIA MIRRA (2)'!$J$66</definedName>
    <definedName name="TIRAGEM_08">OLD!$J$60</definedName>
    <definedName name="ValorUnitarioCompras_01" localSheetId="1">'078-14 (2)'!$C$75</definedName>
    <definedName name="ValorUnitarioCompras_01" localSheetId="4">'140823-1230'!$C$82</definedName>
    <definedName name="ValorUnitarioCompras_01" localSheetId="5">'140823-1230 (2)'!$C$82</definedName>
    <definedName name="ValorUnitarioCompras_01" localSheetId="3">'PATRICIA MIRRA (2)'!$C$88</definedName>
    <definedName name="ValorUnitarioCompras_01">OLD!$C$75</definedName>
    <definedName name="ValorUnitarioCompras_02" localSheetId="1">'078-14 (2)'!$D$75</definedName>
    <definedName name="ValorUnitarioCompras_02" localSheetId="4">'140823-1230'!$D$82</definedName>
    <definedName name="ValorUnitarioCompras_02" localSheetId="5">'140823-1230 (2)'!$D$82</definedName>
    <definedName name="ValorUnitarioCompras_02" localSheetId="3">'PATRICIA MIRRA (2)'!$D$88</definedName>
    <definedName name="ValorUnitarioCompras_02">OLD!$D$75</definedName>
    <definedName name="ValorUnitarioCompras_03" localSheetId="1">'078-14 (2)'!$E$75</definedName>
    <definedName name="ValorUnitarioCompras_03" localSheetId="4">'140823-1230'!$E$82</definedName>
    <definedName name="ValorUnitarioCompras_03" localSheetId="5">'140823-1230 (2)'!$E$82</definedName>
    <definedName name="ValorUnitarioCompras_03" localSheetId="3">'PATRICIA MIRRA (2)'!$E$88</definedName>
    <definedName name="ValorUnitarioCompras_03">OLD!$E$75</definedName>
    <definedName name="ValorUnitarioCompras_04" localSheetId="1">'078-14 (2)'!$F$75</definedName>
    <definedName name="ValorUnitarioCompras_04" localSheetId="4">'140823-1230'!$F$82</definedName>
    <definedName name="ValorUnitarioCompras_04" localSheetId="5">'140823-1230 (2)'!$F$82</definedName>
    <definedName name="ValorUnitarioCompras_04" localSheetId="3">'PATRICIA MIRRA (2)'!$F$88</definedName>
    <definedName name="ValorUnitarioCompras_04">OLD!$F$75</definedName>
    <definedName name="ValorUnitarioCompras_05" localSheetId="1">'078-14 (2)'!$G$75</definedName>
    <definedName name="ValorUnitarioCompras_05" localSheetId="4">'140823-1230'!$G$82</definedName>
    <definedName name="ValorUnitarioCompras_05" localSheetId="5">'140823-1230 (2)'!$G$82</definedName>
    <definedName name="ValorUnitarioCompras_05" localSheetId="3">'PATRICIA MIRRA (2)'!$G$88</definedName>
    <definedName name="ValorUnitarioCompras_05">OLD!$G$75</definedName>
    <definedName name="ValorUnitarioCompras_06" localSheetId="1">'078-14 (2)'!$H$75</definedName>
    <definedName name="ValorUnitarioCompras_06" localSheetId="4">'140823-1230'!$H$82</definedName>
    <definedName name="ValorUnitarioCompras_06" localSheetId="5">'140823-1230 (2)'!$H$82</definedName>
    <definedName name="ValorUnitarioCompras_06" localSheetId="3">'PATRICIA MIRRA (2)'!$H$88</definedName>
    <definedName name="ValorUnitarioCompras_06">OLD!$H$75</definedName>
    <definedName name="ValorUnitarioCompras_07" localSheetId="1">'078-14 (2)'!$I$75</definedName>
    <definedName name="ValorUnitarioCompras_07" localSheetId="4">'140823-1230'!$I$82</definedName>
    <definedName name="ValorUnitarioCompras_07" localSheetId="5">'140823-1230 (2)'!$I$82</definedName>
    <definedName name="ValorUnitarioCompras_07" localSheetId="3">'PATRICIA MIRRA (2)'!$I$88</definedName>
    <definedName name="ValorUnitarioCompras_07">OLD!$I$75</definedName>
    <definedName name="ValorUnitarioCompras_08" localSheetId="1">'078-14 (2)'!$J$75</definedName>
    <definedName name="ValorUnitarioCompras_08" localSheetId="4">'140823-1230'!$J$82</definedName>
    <definedName name="ValorUnitarioCompras_08" localSheetId="5">'140823-1230 (2)'!$J$82</definedName>
    <definedName name="ValorUnitarioCompras_08" localSheetId="3">'PATRICIA MIRRA (2)'!$J$88</definedName>
    <definedName name="ValorUnitarioCompras_08">OLD!$J$75</definedName>
    <definedName name="ValorUnitarioMKT_01" localSheetId="1">'078-14 (2)'!$C$67</definedName>
    <definedName name="ValorUnitarioMKT_01" localSheetId="4">'140823-1230'!$C$67</definedName>
    <definedName name="ValorUnitarioMKT_01" localSheetId="5">'140823-1230 (2)'!$C$67</definedName>
    <definedName name="ValorUnitarioMKT_01" localSheetId="3">'PATRICIA MIRRA (2)'!$C$73</definedName>
    <definedName name="ValorUnitarioMKT_01">OLD!$C$67</definedName>
    <definedName name="ValorUnitarioMKT_02" localSheetId="1">'078-14 (2)'!$D$67</definedName>
    <definedName name="ValorUnitarioMKT_02" localSheetId="4">'140823-1230'!$D$67</definedName>
    <definedName name="ValorUnitarioMKT_02" localSheetId="5">'140823-1230 (2)'!$D$67</definedName>
    <definedName name="ValorUnitarioMKT_02" localSheetId="3">'PATRICIA MIRRA (2)'!$D$73</definedName>
    <definedName name="ValorUnitarioMKT_02">OLD!$D$67</definedName>
    <definedName name="ValorUnitarioMKT_03" localSheetId="1">'078-14 (2)'!$E$67</definedName>
    <definedName name="ValorUnitarioMKT_03" localSheetId="4">'140823-1230'!$E$67</definedName>
    <definedName name="ValorUnitarioMKT_03" localSheetId="5">'140823-1230 (2)'!$E$67</definedName>
    <definedName name="ValorUnitarioMKT_03" localSheetId="3">'PATRICIA MIRRA (2)'!$E$73</definedName>
    <definedName name="ValorUnitarioMKT_03">OLD!$E$67</definedName>
    <definedName name="ValorUnitarioMKT_04" localSheetId="1">'078-14 (2)'!$F$67</definedName>
    <definedName name="ValorUnitarioMKT_04" localSheetId="4">'140823-1230'!$F$67</definedName>
    <definedName name="ValorUnitarioMKT_04" localSheetId="5">'140823-1230 (2)'!$F$67</definedName>
    <definedName name="ValorUnitarioMKT_04" localSheetId="3">'PATRICIA MIRRA (2)'!$F$73</definedName>
    <definedName name="ValorUnitarioMKT_04">OLD!$F$67</definedName>
    <definedName name="ValorUnitarioMKT_05" localSheetId="1">'078-14 (2)'!$G$67</definedName>
    <definedName name="ValorUnitarioMKT_05" localSheetId="4">'140823-1230'!$G$67</definedName>
    <definedName name="ValorUnitarioMKT_05" localSheetId="5">'140823-1230 (2)'!$G$67</definedName>
    <definedName name="ValorUnitarioMKT_05" localSheetId="3">'PATRICIA MIRRA (2)'!$G$73</definedName>
    <definedName name="ValorUnitarioMKT_05">OLD!$G$67</definedName>
    <definedName name="ValorUnitarioMKT_06" localSheetId="1">'078-14 (2)'!$H$67</definedName>
    <definedName name="ValorUnitarioMKT_06" localSheetId="4">'140823-1230'!$H$67</definedName>
    <definedName name="ValorUnitarioMKT_06" localSheetId="5">'140823-1230 (2)'!$H$67</definedName>
    <definedName name="ValorUnitarioMKT_06" localSheetId="3">'PATRICIA MIRRA (2)'!$H$73</definedName>
    <definedName name="ValorUnitarioMKT_06">OLD!$H$67</definedName>
    <definedName name="ValorUnitarioMKT_07" localSheetId="1">'078-14 (2)'!$I$67</definedName>
    <definedName name="ValorUnitarioMKT_07" localSheetId="4">'140823-1230'!$I$67</definedName>
    <definedName name="ValorUnitarioMKT_07" localSheetId="5">'140823-1230 (2)'!$I$67</definedName>
    <definedName name="ValorUnitarioMKT_07" localSheetId="3">'PATRICIA MIRRA (2)'!$I$73</definedName>
    <definedName name="ValorUnitarioMKT_07">OLD!$I$67</definedName>
    <definedName name="ValorUnitarioMKT_08" localSheetId="1">'078-14 (2)'!$J$67</definedName>
    <definedName name="ValorUnitarioMKT_08" localSheetId="4">'140823-1230'!$J$67</definedName>
    <definedName name="ValorUnitarioMKT_08" localSheetId="5">'140823-1230 (2)'!$J$67</definedName>
    <definedName name="ValorUnitarioMKT_08" localSheetId="3">'PATRICIA MIRRA (2)'!$J$73</definedName>
    <definedName name="ValorUnitarioMKT_08">OLD!$J$67</definedName>
    <definedName name="VENDAS" localSheetId="1">OFFSET('078-14 (2)'!$S$3,0,0,COUNTA('078-14 (2)'!$S:$S)-2,1)</definedName>
    <definedName name="VENDAS" localSheetId="4">OFFSET('140823-1230'!$S$3,0,0,COUNTA('140823-1230'!$S:$S)-2,1)</definedName>
    <definedName name="VENDAS" localSheetId="5">OFFSET('140823-1230 (2)'!$S$3,0,0,COUNTA('140823-1230 (2)'!$S:$S)-2,1)</definedName>
    <definedName name="VENDAS" localSheetId="3">OFFSET('PATRICIA MIRRA (2)'!$S$3,0,0,COUNTA('PATRICIA MIRRA (2)'!$S:$S)-2,1)</definedName>
    <definedName name="VENDAS">OFFSET(OLD!$S$3,0,0,COUNTA(OLD!$S:$S)-2,1)</definedName>
    <definedName name="Z_437F6487_5027_419A_843F_1746F5494E4F_.wvu.FilterData" localSheetId="1" hidden="1">'078-14 (2)'!#REF!</definedName>
    <definedName name="Z_437F6487_5027_419A_843F_1746F5494E4F_.wvu.FilterData" localSheetId="4" hidden="1">'140823-1230'!#REF!</definedName>
    <definedName name="Z_437F6487_5027_419A_843F_1746F5494E4F_.wvu.FilterData" localSheetId="5" hidden="1">'140823-1230 (2)'!#REF!</definedName>
    <definedName name="Z_437F6487_5027_419A_843F_1746F5494E4F_.wvu.FilterData" localSheetId="0" hidden="1">OLD!#REF!</definedName>
    <definedName name="Z_437F6487_5027_419A_843F_1746F5494E4F_.wvu.FilterData" localSheetId="3" hidden="1">'PATRICIA MIRRA (2)'!#REF!</definedName>
    <definedName name="Z_437F6487_5027_419A_843F_1746F5494E4F_.wvu.PrintArea" localSheetId="1" hidden="1">'078-14 (2)'!$B$1:$J$60</definedName>
    <definedName name="Z_437F6487_5027_419A_843F_1746F5494E4F_.wvu.PrintArea" localSheetId="4" hidden="1">'140823-1230'!$B$1:$J$60</definedName>
    <definedName name="Z_437F6487_5027_419A_843F_1746F5494E4F_.wvu.PrintArea" localSheetId="5" hidden="1">'140823-1230 (2)'!$B$1:$J$60</definedName>
    <definedName name="Z_437F6487_5027_419A_843F_1746F5494E4F_.wvu.PrintArea" localSheetId="0" hidden="1">OLD!$B$1:$J$60</definedName>
    <definedName name="Z_437F6487_5027_419A_843F_1746F5494E4F_.wvu.PrintArea" localSheetId="3" hidden="1">'PATRICIA MIRRA (2)'!$B$1:$J$66</definedName>
    <definedName name="Z_5B1E8DBA_90DA_43E8_AAC8_B7C5A23492D3_.wvu.FilterData" localSheetId="1" hidden="1">'078-14 (2)'!#REF!</definedName>
    <definedName name="Z_5B1E8DBA_90DA_43E8_AAC8_B7C5A23492D3_.wvu.FilterData" localSheetId="4" hidden="1">'140823-1230'!#REF!</definedName>
    <definedName name="Z_5B1E8DBA_90DA_43E8_AAC8_B7C5A23492D3_.wvu.FilterData" localSheetId="5" hidden="1">'140823-1230 (2)'!#REF!</definedName>
    <definedName name="Z_5B1E8DBA_90DA_43E8_AAC8_B7C5A23492D3_.wvu.FilterData" localSheetId="0" hidden="1">OLD!#REF!</definedName>
    <definedName name="Z_5B1E8DBA_90DA_43E8_AAC8_B7C5A23492D3_.wvu.FilterData" localSheetId="3" hidden="1">'PATRICIA MIRRA (2)'!#REF!</definedName>
    <definedName name="Z_5B1E8DBA_90DA_43E8_AAC8_B7C5A23492D3_.wvu.PrintArea" localSheetId="1" hidden="1">'078-14 (2)'!$B$1:$J$60</definedName>
    <definedName name="Z_5B1E8DBA_90DA_43E8_AAC8_B7C5A23492D3_.wvu.PrintArea" localSheetId="4" hidden="1">'140823-1230'!$B$1:$J$60</definedName>
    <definedName name="Z_5B1E8DBA_90DA_43E8_AAC8_B7C5A23492D3_.wvu.PrintArea" localSheetId="5" hidden="1">'140823-1230 (2)'!$B$1:$J$60</definedName>
    <definedName name="Z_5B1E8DBA_90DA_43E8_AAC8_B7C5A23492D3_.wvu.PrintArea" localSheetId="0" hidden="1">OLD!$B$1:$J$60</definedName>
    <definedName name="Z_5B1E8DBA_90DA_43E8_AAC8_B7C5A23492D3_.wvu.PrintArea" localSheetId="3" hidden="1">'PATRICIA MIRRA (2)'!$B$1:$J$66</definedName>
  </definedNames>
  <calcPr calcId="125725"/>
</workbook>
</file>

<file path=xl/calcChain.xml><?xml version="1.0" encoding="utf-8"?>
<calcChain xmlns="http://schemas.openxmlformats.org/spreadsheetml/2006/main">
  <c r="J88" i="30"/>
  <c r="I88"/>
  <c r="H88"/>
  <c r="G88"/>
  <c r="F88"/>
  <c r="E88"/>
  <c r="D88"/>
  <c r="C88"/>
  <c r="C71"/>
  <c r="F4" i="22"/>
  <c r="O2"/>
  <c r="AT11" i="30" l="1"/>
  <c r="AT10"/>
  <c r="J86" i="31"/>
  <c r="I86"/>
  <c r="H86"/>
  <c r="G86"/>
  <c r="F86"/>
  <c r="E86"/>
  <c r="D86"/>
  <c r="C86"/>
  <c r="J79"/>
  <c r="J83" s="1"/>
  <c r="I79"/>
  <c r="I83" s="1"/>
  <c r="H79"/>
  <c r="H83" s="1"/>
  <c r="G79"/>
  <c r="G83" s="1"/>
  <c r="F79"/>
  <c r="F83" s="1"/>
  <c r="E79"/>
  <c r="E83" s="1"/>
  <c r="D79"/>
  <c r="D83" s="1"/>
  <c r="C79"/>
  <c r="C83" s="1"/>
  <c r="J71"/>
  <c r="J90" s="1"/>
  <c r="I71"/>
  <c r="I90" s="1"/>
  <c r="H71"/>
  <c r="H90" s="1"/>
  <c r="G71"/>
  <c r="G90" s="1"/>
  <c r="F71"/>
  <c r="F90" s="1"/>
  <c r="E71"/>
  <c r="E90" s="1"/>
  <c r="D71"/>
  <c r="D90" s="1"/>
  <c r="C71"/>
  <c r="C90" s="1"/>
  <c r="J62"/>
  <c r="J63" s="1"/>
  <c r="I62"/>
  <c r="I63" s="1"/>
  <c r="H62"/>
  <c r="H63" s="1"/>
  <c r="G62"/>
  <c r="G63" s="1"/>
  <c r="F62"/>
  <c r="F63" s="1"/>
  <c r="E62"/>
  <c r="E63" s="1"/>
  <c r="D62"/>
  <c r="D63" s="1"/>
  <c r="C62"/>
  <c r="C63" s="1"/>
  <c r="B60"/>
  <c r="J36"/>
  <c r="J58" s="1"/>
  <c r="I36"/>
  <c r="I58" s="1"/>
  <c r="H36"/>
  <c r="H58" s="1"/>
  <c r="G36"/>
  <c r="G58" s="1"/>
  <c r="F36"/>
  <c r="F58" s="1"/>
  <c r="E36"/>
  <c r="E58" s="1"/>
  <c r="D36"/>
  <c r="D58" s="1"/>
  <c r="C36"/>
  <c r="C58" s="1"/>
  <c r="J35"/>
  <c r="J60" s="1"/>
  <c r="I35"/>
  <c r="I60" s="1"/>
  <c r="H35"/>
  <c r="H60" s="1"/>
  <c r="G35"/>
  <c r="G60" s="1"/>
  <c r="F35"/>
  <c r="F60" s="1"/>
  <c r="E35"/>
  <c r="E60" s="1"/>
  <c r="D35"/>
  <c r="D60" s="1"/>
  <c r="C35"/>
  <c r="C60" s="1"/>
  <c r="AI27"/>
  <c r="AH27"/>
  <c r="AG27"/>
  <c r="AI26"/>
  <c r="AH26"/>
  <c r="AG26" s="1"/>
  <c r="AI25"/>
  <c r="AH25"/>
  <c r="AG25"/>
  <c r="AI24"/>
  <c r="AH24"/>
  <c r="AG24" s="1"/>
  <c r="AI23"/>
  <c r="AH23"/>
  <c r="AG23"/>
  <c r="AI22"/>
  <c r="AH22"/>
  <c r="AG22" s="1"/>
  <c r="AI21"/>
  <c r="AH21"/>
  <c r="AG21"/>
  <c r="AI20"/>
  <c r="AH20"/>
  <c r="AG20"/>
  <c r="AI19"/>
  <c r="AH19"/>
  <c r="AG19"/>
  <c r="AI18"/>
  <c r="AH18"/>
  <c r="AG18"/>
  <c r="AI17"/>
  <c r="AH17"/>
  <c r="AG17"/>
  <c r="AI16"/>
  <c r="AH16"/>
  <c r="AG16" s="1"/>
  <c r="J16"/>
  <c r="I16"/>
  <c r="H16"/>
  <c r="G16"/>
  <c r="F16"/>
  <c r="E16"/>
  <c r="D16"/>
  <c r="C16"/>
  <c r="AI15"/>
  <c r="AH15"/>
  <c r="AG15" s="1"/>
  <c r="AI14"/>
  <c r="AH14"/>
  <c r="AG14"/>
  <c r="AI13"/>
  <c r="AH13"/>
  <c r="AG13" s="1"/>
  <c r="AI12"/>
  <c r="AH12"/>
  <c r="AG12"/>
  <c r="K12"/>
  <c r="AI11"/>
  <c r="AH11"/>
  <c r="AG11"/>
  <c r="AI10"/>
  <c r="AH10"/>
  <c r="AG10" s="1"/>
  <c r="AI9"/>
  <c r="AH9"/>
  <c r="AG9"/>
  <c r="AI8"/>
  <c r="AH8"/>
  <c r="AG8" s="1"/>
  <c r="AI7"/>
  <c r="AH7"/>
  <c r="AG7"/>
  <c r="AI6"/>
  <c r="AH6"/>
  <c r="AG6" s="1"/>
  <c r="AI5"/>
  <c r="AH5"/>
  <c r="AG5"/>
  <c r="AP11" s="1"/>
  <c r="AI4"/>
  <c r="AH4"/>
  <c r="AG4" s="1"/>
  <c r="K4"/>
  <c r="AI3"/>
  <c r="AH3"/>
  <c r="AH28" s="1"/>
  <c r="AI27" i="30"/>
  <c r="AH27"/>
  <c r="AG27" s="1"/>
  <c r="AI26"/>
  <c r="AH26"/>
  <c r="AG26" s="1"/>
  <c r="AI25"/>
  <c r="AH25"/>
  <c r="AI24"/>
  <c r="AH24"/>
  <c r="AI23"/>
  <c r="AH23"/>
  <c r="AI22"/>
  <c r="AH22"/>
  <c r="AG22" s="1"/>
  <c r="AI21"/>
  <c r="AH21"/>
  <c r="AI20"/>
  <c r="AH20"/>
  <c r="AG20" s="1"/>
  <c r="AI19"/>
  <c r="AH19"/>
  <c r="AG19" s="1"/>
  <c r="AI18"/>
  <c r="AH18"/>
  <c r="AG18" s="1"/>
  <c r="AI17"/>
  <c r="AH17"/>
  <c r="AI16"/>
  <c r="AH16"/>
  <c r="AI15"/>
  <c r="AH15"/>
  <c r="AI14"/>
  <c r="AH14"/>
  <c r="AG14" s="1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I3"/>
  <c r="AH3"/>
  <c r="D88" i="31" l="1"/>
  <c r="D73"/>
  <c r="D67"/>
  <c r="D66" s="1"/>
  <c r="H88"/>
  <c r="H73"/>
  <c r="H67"/>
  <c r="H66" s="1"/>
  <c r="J88"/>
  <c r="J73"/>
  <c r="J67"/>
  <c r="J66" s="1"/>
  <c r="F84"/>
  <c r="F69"/>
  <c r="F68" s="1"/>
  <c r="C88"/>
  <c r="C73"/>
  <c r="C67"/>
  <c r="C66" s="1"/>
  <c r="E88"/>
  <c r="E73"/>
  <c r="E67"/>
  <c r="E66" s="1"/>
  <c r="G88"/>
  <c r="G73"/>
  <c r="G67"/>
  <c r="G66" s="1"/>
  <c r="I88"/>
  <c r="I73"/>
  <c r="I67"/>
  <c r="I66" s="1"/>
  <c r="C84"/>
  <c r="C69"/>
  <c r="C68" s="1"/>
  <c r="E84"/>
  <c r="E69"/>
  <c r="E68" s="1"/>
  <c r="G84"/>
  <c r="G69"/>
  <c r="G68" s="1"/>
  <c r="I84"/>
  <c r="I69"/>
  <c r="I68" s="1"/>
  <c r="F88"/>
  <c r="F73"/>
  <c r="F67"/>
  <c r="F66" s="1"/>
  <c r="D84"/>
  <c r="D69"/>
  <c r="D68" s="1"/>
  <c r="H84"/>
  <c r="H69"/>
  <c r="H68" s="1"/>
  <c r="J84"/>
  <c r="J69"/>
  <c r="J68" s="1"/>
  <c r="D75"/>
  <c r="F75"/>
  <c r="H75"/>
  <c r="J75"/>
  <c r="D81"/>
  <c r="F81"/>
  <c r="H81"/>
  <c r="J81"/>
  <c r="D82"/>
  <c r="F82"/>
  <c r="H82"/>
  <c r="J82"/>
  <c r="AG3"/>
  <c r="C75"/>
  <c r="E75"/>
  <c r="G75"/>
  <c r="I75"/>
  <c r="C81"/>
  <c r="E81"/>
  <c r="G81"/>
  <c r="I81"/>
  <c r="C82"/>
  <c r="E82"/>
  <c r="G82"/>
  <c r="I82"/>
  <c r="AG7" i="30"/>
  <c r="AG8"/>
  <c r="AG9"/>
  <c r="AG10"/>
  <c r="AG11"/>
  <c r="AG12"/>
  <c r="AG13"/>
  <c r="AG21"/>
  <c r="AG5"/>
  <c r="AG6"/>
  <c r="AG15"/>
  <c r="AG16"/>
  <c r="AG17"/>
  <c r="AG23"/>
  <c r="AG24"/>
  <c r="AG25"/>
  <c r="AH28"/>
  <c r="AG4"/>
  <c r="AG3"/>
  <c r="J79"/>
  <c r="I79"/>
  <c r="H79"/>
  <c r="G79"/>
  <c r="F79"/>
  <c r="E79"/>
  <c r="D79"/>
  <c r="C79"/>
  <c r="J71"/>
  <c r="I71"/>
  <c r="H71"/>
  <c r="G71"/>
  <c r="F71"/>
  <c r="E71"/>
  <c r="D71"/>
  <c r="J62"/>
  <c r="J63" s="1"/>
  <c r="I62"/>
  <c r="I63" s="1"/>
  <c r="H62"/>
  <c r="H63" s="1"/>
  <c r="G62"/>
  <c r="G63" s="1"/>
  <c r="F62"/>
  <c r="F63" s="1"/>
  <c r="E62"/>
  <c r="E63" s="1"/>
  <c r="D62"/>
  <c r="D63" s="1"/>
  <c r="C62"/>
  <c r="B60"/>
  <c r="J36"/>
  <c r="J58" s="1"/>
  <c r="I36"/>
  <c r="I58" s="1"/>
  <c r="H36"/>
  <c r="H58" s="1"/>
  <c r="G36"/>
  <c r="G58" s="1"/>
  <c r="F36"/>
  <c r="F58" s="1"/>
  <c r="E36"/>
  <c r="E58" s="1"/>
  <c r="D36"/>
  <c r="D58" s="1"/>
  <c r="C36"/>
  <c r="C58" s="1"/>
  <c r="J35"/>
  <c r="J60" s="1"/>
  <c r="I35"/>
  <c r="I60" s="1"/>
  <c r="H35"/>
  <c r="H60" s="1"/>
  <c r="G35"/>
  <c r="G60" s="1"/>
  <c r="F35"/>
  <c r="F60" s="1"/>
  <c r="E35"/>
  <c r="E60" s="1"/>
  <c r="D35"/>
  <c r="D60" s="1"/>
  <c r="C35"/>
  <c r="C60" s="1"/>
  <c r="J16"/>
  <c r="I16"/>
  <c r="H16"/>
  <c r="G16"/>
  <c r="F16"/>
  <c r="E16"/>
  <c r="D16"/>
  <c r="C16"/>
  <c r="K12"/>
  <c r="K4"/>
  <c r="J92" i="29"/>
  <c r="I92"/>
  <c r="H92"/>
  <c r="G92"/>
  <c r="F92"/>
  <c r="E92"/>
  <c r="D92"/>
  <c r="C92"/>
  <c r="J77"/>
  <c r="J81" s="1"/>
  <c r="I77"/>
  <c r="I81" s="1"/>
  <c r="H77"/>
  <c r="H81" s="1"/>
  <c r="G77"/>
  <c r="G81" s="1"/>
  <c r="F77"/>
  <c r="F81" s="1"/>
  <c r="E77"/>
  <c r="E81" s="1"/>
  <c r="D77"/>
  <c r="D81" s="1"/>
  <c r="C77"/>
  <c r="C81" s="1"/>
  <c r="J85"/>
  <c r="J89" s="1"/>
  <c r="I85"/>
  <c r="I89" s="1"/>
  <c r="H85"/>
  <c r="H89" s="1"/>
  <c r="G85"/>
  <c r="G89" s="1"/>
  <c r="F85"/>
  <c r="F89" s="1"/>
  <c r="E85"/>
  <c r="E89" s="1"/>
  <c r="D85"/>
  <c r="D89" s="1"/>
  <c r="C85"/>
  <c r="C89" s="1"/>
  <c r="J68"/>
  <c r="J69" s="1"/>
  <c r="I68"/>
  <c r="I69" s="1"/>
  <c r="H68"/>
  <c r="H69" s="1"/>
  <c r="G68"/>
  <c r="G69" s="1"/>
  <c r="F68"/>
  <c r="F69" s="1"/>
  <c r="E68"/>
  <c r="E69" s="1"/>
  <c r="D68"/>
  <c r="D69" s="1"/>
  <c r="C68"/>
  <c r="C69" s="1"/>
  <c r="B66"/>
  <c r="J42"/>
  <c r="J64" s="1"/>
  <c r="I42"/>
  <c r="I64" s="1"/>
  <c r="H42"/>
  <c r="H64" s="1"/>
  <c r="G42"/>
  <c r="G64" s="1"/>
  <c r="F42"/>
  <c r="F64" s="1"/>
  <c r="E42"/>
  <c r="E64" s="1"/>
  <c r="D42"/>
  <c r="D64" s="1"/>
  <c r="C42"/>
  <c r="C64" s="1"/>
  <c r="J41"/>
  <c r="J66" s="1"/>
  <c r="I41"/>
  <c r="I66" s="1"/>
  <c r="H41"/>
  <c r="H66" s="1"/>
  <c r="G41"/>
  <c r="G66" s="1"/>
  <c r="F41"/>
  <c r="F66" s="1"/>
  <c r="E41"/>
  <c r="E66" s="1"/>
  <c r="D41"/>
  <c r="D66" s="1"/>
  <c r="C41"/>
  <c r="C66" s="1"/>
  <c r="AH27"/>
  <c r="AG27"/>
  <c r="AF27"/>
  <c r="AH26"/>
  <c r="AG26"/>
  <c r="AF26" s="1"/>
  <c r="AH25"/>
  <c r="AG25"/>
  <c r="AF25" s="1"/>
  <c r="AH24"/>
  <c r="AG24"/>
  <c r="AF24" s="1"/>
  <c r="AH23"/>
  <c r="AG23"/>
  <c r="AH22"/>
  <c r="AG22"/>
  <c r="AF22"/>
  <c r="AH21"/>
  <c r="AG21"/>
  <c r="AH20"/>
  <c r="AG20"/>
  <c r="AF20" s="1"/>
  <c r="AH19"/>
  <c r="AG19"/>
  <c r="AH18"/>
  <c r="AG18"/>
  <c r="AF18" s="1"/>
  <c r="AH17"/>
  <c r="AG17"/>
  <c r="AH16"/>
  <c r="AG16"/>
  <c r="J16"/>
  <c r="I16"/>
  <c r="H16"/>
  <c r="G16"/>
  <c r="F16"/>
  <c r="E16"/>
  <c r="D16"/>
  <c r="C16"/>
  <c r="AH15"/>
  <c r="AG15"/>
  <c r="AH14"/>
  <c r="AG14"/>
  <c r="AH13"/>
  <c r="AG13"/>
  <c r="AH12"/>
  <c r="AG12"/>
  <c r="K12"/>
  <c r="AO11"/>
  <c r="AH11"/>
  <c r="AG11"/>
  <c r="AF11"/>
  <c r="AH10"/>
  <c r="AG10"/>
  <c r="AF10" s="1"/>
  <c r="AH9"/>
  <c r="AG9"/>
  <c r="AF9" s="1"/>
  <c r="AH8"/>
  <c r="AG8"/>
  <c r="AH7"/>
  <c r="AG7"/>
  <c r="AF7" s="1"/>
  <c r="AH6"/>
  <c r="AG6"/>
  <c r="AH5"/>
  <c r="AG5"/>
  <c r="AH4"/>
  <c r="AG4"/>
  <c r="K4"/>
  <c r="AH3"/>
  <c r="AG3"/>
  <c r="J90" i="25"/>
  <c r="I90"/>
  <c r="H90"/>
  <c r="G90"/>
  <c r="F90"/>
  <c r="E90"/>
  <c r="D90"/>
  <c r="C90"/>
  <c r="J82" i="28"/>
  <c r="J86" s="1"/>
  <c r="I82"/>
  <c r="I86" s="1"/>
  <c r="H82"/>
  <c r="H86" s="1"/>
  <c r="G82"/>
  <c r="G86" s="1"/>
  <c r="F82"/>
  <c r="F86" s="1"/>
  <c r="E82"/>
  <c r="E86" s="1"/>
  <c r="D82"/>
  <c r="D86" s="1"/>
  <c r="C82"/>
  <c r="C86" s="1"/>
  <c r="J72"/>
  <c r="J76" s="1"/>
  <c r="I72"/>
  <c r="I76" s="1"/>
  <c r="H72"/>
  <c r="H76" s="1"/>
  <c r="G72"/>
  <c r="G76" s="1"/>
  <c r="F72"/>
  <c r="F76" s="1"/>
  <c r="E72"/>
  <c r="E76" s="1"/>
  <c r="D72"/>
  <c r="D76" s="1"/>
  <c r="C72"/>
  <c r="C76" s="1"/>
  <c r="J62"/>
  <c r="J63" s="1"/>
  <c r="I62"/>
  <c r="I63" s="1"/>
  <c r="H62"/>
  <c r="G62"/>
  <c r="G63" s="1"/>
  <c r="F62"/>
  <c r="F63" s="1"/>
  <c r="E62"/>
  <c r="E63" s="1"/>
  <c r="D62"/>
  <c r="D63" s="1"/>
  <c r="C62"/>
  <c r="C63" s="1"/>
  <c r="B60"/>
  <c r="J36"/>
  <c r="J58" s="1"/>
  <c r="I36"/>
  <c r="I58" s="1"/>
  <c r="H36"/>
  <c r="H58" s="1"/>
  <c r="G36"/>
  <c r="G58" s="1"/>
  <c r="F36"/>
  <c r="F58" s="1"/>
  <c r="E36"/>
  <c r="E58" s="1"/>
  <c r="D36"/>
  <c r="D58" s="1"/>
  <c r="C36"/>
  <c r="C58" s="1"/>
  <c r="J35"/>
  <c r="J60" s="1"/>
  <c r="I35"/>
  <c r="I60" s="1"/>
  <c r="H35"/>
  <c r="H60" s="1"/>
  <c r="G35"/>
  <c r="G60" s="1"/>
  <c r="F35"/>
  <c r="F60" s="1"/>
  <c r="E35"/>
  <c r="E60" s="1"/>
  <c r="D35"/>
  <c r="D60" s="1"/>
  <c r="C35"/>
  <c r="C60" s="1"/>
  <c r="AE32"/>
  <c r="AE31"/>
  <c r="AE28"/>
  <c r="AH27"/>
  <c r="AG27"/>
  <c r="AF27" s="1"/>
  <c r="AH26"/>
  <c r="AG26"/>
  <c r="AF26" s="1"/>
  <c r="AH25"/>
  <c r="AG25"/>
  <c r="AF25" s="1"/>
  <c r="AH24"/>
  <c r="AG24"/>
  <c r="AF24"/>
  <c r="AH23"/>
  <c r="AG23"/>
  <c r="AH22"/>
  <c r="AG22"/>
  <c r="AF22"/>
  <c r="AH21"/>
  <c r="AG21"/>
  <c r="AH20"/>
  <c r="AG20"/>
  <c r="AF20" s="1"/>
  <c r="AH19"/>
  <c r="AG19"/>
  <c r="AF19" s="1"/>
  <c r="AH18"/>
  <c r="AG18"/>
  <c r="AF18" s="1"/>
  <c r="AH17"/>
  <c r="AG17"/>
  <c r="AF17" s="1"/>
  <c r="AH16"/>
  <c r="AG16"/>
  <c r="AF16"/>
  <c r="J16"/>
  <c r="I16"/>
  <c r="H16"/>
  <c r="G16"/>
  <c r="F16"/>
  <c r="E16"/>
  <c r="D16"/>
  <c r="C16"/>
  <c r="AH15"/>
  <c r="AG15"/>
  <c r="AH14"/>
  <c r="AG14"/>
  <c r="AF14"/>
  <c r="AH13"/>
  <c r="AG13"/>
  <c r="AF13" s="1"/>
  <c r="AH12"/>
  <c r="AG12"/>
  <c r="AF12" s="1"/>
  <c r="K12"/>
  <c r="AH11"/>
  <c r="AG11"/>
  <c r="AF11" s="1"/>
  <c r="AH10"/>
  <c r="AG10"/>
  <c r="AF10"/>
  <c r="AH9"/>
  <c r="AG9"/>
  <c r="AH8"/>
  <c r="AG8"/>
  <c r="AF8"/>
  <c r="AH7"/>
  <c r="AG7"/>
  <c r="AF7" s="1"/>
  <c r="AH6"/>
  <c r="AG6"/>
  <c r="AF6" s="1"/>
  <c r="AH5"/>
  <c r="AG5"/>
  <c r="AF5" s="1"/>
  <c r="AH4"/>
  <c r="AF4" s="1"/>
  <c r="AG4"/>
  <c r="K4"/>
  <c r="AH3"/>
  <c r="AG3"/>
  <c r="AH27" i="25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4"/>
  <c r="AG14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H3"/>
  <c r="AG3"/>
  <c r="D83" i="30" l="1"/>
  <c r="D86"/>
  <c r="D90" s="1"/>
  <c r="F83"/>
  <c r="F86"/>
  <c r="F90" s="1"/>
  <c r="H83"/>
  <c r="H86"/>
  <c r="H90" s="1"/>
  <c r="J83"/>
  <c r="J86"/>
  <c r="J90" s="1"/>
  <c r="C83"/>
  <c r="C86"/>
  <c r="C90" s="1"/>
  <c r="E83"/>
  <c r="E86"/>
  <c r="E90" s="1"/>
  <c r="G83"/>
  <c r="G86"/>
  <c r="G90" s="1"/>
  <c r="I83"/>
  <c r="I86"/>
  <c r="I90" s="1"/>
  <c r="C63"/>
  <c r="AG28" i="31"/>
  <c r="AP10"/>
  <c r="AG28" i="30"/>
  <c r="D75"/>
  <c r="H75"/>
  <c r="E75"/>
  <c r="I75"/>
  <c r="F75"/>
  <c r="J75"/>
  <c r="C75"/>
  <c r="G75"/>
  <c r="F73"/>
  <c r="F67"/>
  <c r="F66" s="1"/>
  <c r="J73"/>
  <c r="J67"/>
  <c r="J66" s="1"/>
  <c r="F84"/>
  <c r="F69"/>
  <c r="F68" s="1"/>
  <c r="J84"/>
  <c r="J69"/>
  <c r="J68" s="1"/>
  <c r="C73"/>
  <c r="C67"/>
  <c r="C66" s="1"/>
  <c r="G73"/>
  <c r="G67"/>
  <c r="G66" s="1"/>
  <c r="C84"/>
  <c r="C69"/>
  <c r="C68" s="1"/>
  <c r="G84"/>
  <c r="G69"/>
  <c r="G68" s="1"/>
  <c r="D73"/>
  <c r="D67"/>
  <c r="D66" s="1"/>
  <c r="H73"/>
  <c r="H67"/>
  <c r="H66" s="1"/>
  <c r="D84"/>
  <c r="D69"/>
  <c r="D68" s="1"/>
  <c r="H84"/>
  <c r="H69"/>
  <c r="H68" s="1"/>
  <c r="E84"/>
  <c r="E69"/>
  <c r="E68" s="1"/>
  <c r="I84"/>
  <c r="I69"/>
  <c r="I68" s="1"/>
  <c r="C81"/>
  <c r="G81"/>
  <c r="C82"/>
  <c r="G82"/>
  <c r="D81"/>
  <c r="H81"/>
  <c r="D82"/>
  <c r="H82"/>
  <c r="E67"/>
  <c r="E66" s="1"/>
  <c r="I67"/>
  <c r="I66" s="1"/>
  <c r="E73"/>
  <c r="I73"/>
  <c r="E81"/>
  <c r="I81"/>
  <c r="E82"/>
  <c r="I82"/>
  <c r="F81"/>
  <c r="J81"/>
  <c r="F82"/>
  <c r="J82"/>
  <c r="H63" i="28"/>
  <c r="AF21"/>
  <c r="AG28"/>
  <c r="AF9"/>
  <c r="AF15"/>
  <c r="AF23"/>
  <c r="AG28" i="29"/>
  <c r="AF15"/>
  <c r="AF21"/>
  <c r="AF4"/>
  <c r="AF5"/>
  <c r="AF6"/>
  <c r="AF13"/>
  <c r="AF14"/>
  <c r="AF17"/>
  <c r="AF8"/>
  <c r="AF12"/>
  <c r="AF16"/>
  <c r="AF19"/>
  <c r="AF23"/>
  <c r="J94"/>
  <c r="J79"/>
  <c r="J73"/>
  <c r="J72" s="1"/>
  <c r="C94"/>
  <c r="C79"/>
  <c r="C73"/>
  <c r="C72" s="1"/>
  <c r="E94"/>
  <c r="E79"/>
  <c r="E73"/>
  <c r="E72" s="1"/>
  <c r="G94"/>
  <c r="G79"/>
  <c r="G73"/>
  <c r="G72" s="1"/>
  <c r="I94"/>
  <c r="I79"/>
  <c r="I73"/>
  <c r="I72" s="1"/>
  <c r="C90"/>
  <c r="C75"/>
  <c r="C74" s="1"/>
  <c r="E90"/>
  <c r="E75"/>
  <c r="E74" s="1"/>
  <c r="G90"/>
  <c r="G75"/>
  <c r="G74" s="1"/>
  <c r="I90"/>
  <c r="I75"/>
  <c r="I74" s="1"/>
  <c r="D94"/>
  <c r="D79"/>
  <c r="D73"/>
  <c r="D72" s="1"/>
  <c r="F94"/>
  <c r="F79"/>
  <c r="F73"/>
  <c r="F72" s="1"/>
  <c r="H94"/>
  <c r="H79"/>
  <c r="H73"/>
  <c r="H72" s="1"/>
  <c r="D90"/>
  <c r="D75"/>
  <c r="D74" s="1"/>
  <c r="F90"/>
  <c r="F75"/>
  <c r="F74" s="1"/>
  <c r="H90"/>
  <c r="H75"/>
  <c r="H74" s="1"/>
  <c r="J90"/>
  <c r="J75"/>
  <c r="J74" s="1"/>
  <c r="D87"/>
  <c r="F87"/>
  <c r="H87"/>
  <c r="J87"/>
  <c r="D88"/>
  <c r="F88"/>
  <c r="H88"/>
  <c r="J88"/>
  <c r="AF3"/>
  <c r="C87"/>
  <c r="E87"/>
  <c r="G87"/>
  <c r="I87"/>
  <c r="C88"/>
  <c r="E88"/>
  <c r="G88"/>
  <c r="I88"/>
  <c r="AF3" i="25"/>
  <c r="AG28"/>
  <c r="AF5"/>
  <c r="AF6"/>
  <c r="AF7"/>
  <c r="AF8"/>
  <c r="AF9"/>
  <c r="AF10"/>
  <c r="AF11"/>
  <c r="AF12"/>
  <c r="AF13"/>
  <c r="AF14"/>
  <c r="AF15"/>
  <c r="AF16"/>
  <c r="AF17"/>
  <c r="AF18"/>
  <c r="AF20"/>
  <c r="AF21"/>
  <c r="AF22"/>
  <c r="AF23"/>
  <c r="AF24"/>
  <c r="AF25"/>
  <c r="AF26"/>
  <c r="AF27"/>
  <c r="AF4"/>
  <c r="AF19"/>
  <c r="D84" i="28"/>
  <c r="D67"/>
  <c r="D66" s="1"/>
  <c r="H84"/>
  <c r="H67"/>
  <c r="H66" s="1"/>
  <c r="D77"/>
  <c r="D69"/>
  <c r="D68" s="1"/>
  <c r="H77"/>
  <c r="H69"/>
  <c r="H68" s="1"/>
  <c r="C84"/>
  <c r="C67"/>
  <c r="C66" s="1"/>
  <c r="E84"/>
  <c r="E67"/>
  <c r="E66" s="1"/>
  <c r="G84"/>
  <c r="G67"/>
  <c r="G66" s="1"/>
  <c r="I84"/>
  <c r="I67"/>
  <c r="I66" s="1"/>
  <c r="C77"/>
  <c r="C69"/>
  <c r="C68" s="1"/>
  <c r="E77"/>
  <c r="E69"/>
  <c r="E68" s="1"/>
  <c r="G77"/>
  <c r="G69"/>
  <c r="G68" s="1"/>
  <c r="I77"/>
  <c r="I69"/>
  <c r="I68" s="1"/>
  <c r="F84"/>
  <c r="F67"/>
  <c r="F66" s="1"/>
  <c r="J84"/>
  <c r="J67"/>
  <c r="J66" s="1"/>
  <c r="F77"/>
  <c r="F69"/>
  <c r="F68" s="1"/>
  <c r="J77"/>
  <c r="J69"/>
  <c r="J68" s="1"/>
  <c r="AF3"/>
  <c r="D74"/>
  <c r="F74"/>
  <c r="H74"/>
  <c r="J74"/>
  <c r="D75"/>
  <c r="F75"/>
  <c r="H75"/>
  <c r="J75"/>
  <c r="C74"/>
  <c r="E74"/>
  <c r="G74"/>
  <c r="I74"/>
  <c r="C75"/>
  <c r="E75"/>
  <c r="G75"/>
  <c r="I75"/>
  <c r="D4" i="27"/>
  <c r="D12"/>
  <c r="E5"/>
  <c r="E4"/>
  <c r="D5"/>
  <c r="J82" i="25"/>
  <c r="I82"/>
  <c r="H82"/>
  <c r="G82"/>
  <c r="F82"/>
  <c r="E82"/>
  <c r="D82"/>
  <c r="C82"/>
  <c r="C86" s="1"/>
  <c r="C72"/>
  <c r="C76" s="1"/>
  <c r="C16"/>
  <c r="D16"/>
  <c r="P7" i="27"/>
  <c r="R7" s="1"/>
  <c r="S7" s="1"/>
  <c r="P6"/>
  <c r="R6" s="1"/>
  <c r="S6" s="1"/>
  <c r="P5"/>
  <c r="R5" s="1"/>
  <c r="S5" s="1"/>
  <c r="P4"/>
  <c r="R4" s="1"/>
  <c r="S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D8" i="27" l="1"/>
  <c r="AF28" i="28"/>
  <c r="AF28" i="29"/>
  <c r="AO10"/>
  <c r="AO11" i="25"/>
  <c r="AO10"/>
  <c r="AF28"/>
  <c r="D10" i="27"/>
  <c r="E10" s="1"/>
  <c r="J62" i="25"/>
  <c r="I62"/>
  <c r="H62"/>
  <c r="G62"/>
  <c r="F62"/>
  <c r="E62"/>
  <c r="D62"/>
  <c r="C62"/>
  <c r="C63" s="1"/>
  <c r="D14" i="27" l="1"/>
  <c r="J72" i="25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C35"/>
  <c r="K12"/>
  <c r="F5" i="22"/>
  <c r="D84" i="25" l="1"/>
  <c r="D92"/>
  <c r="C77"/>
  <c r="C74"/>
  <c r="F69"/>
  <c r="F74"/>
  <c r="C69"/>
  <c r="C68" s="1"/>
  <c r="E69"/>
  <c r="E74"/>
  <c r="D69"/>
  <c r="D77"/>
  <c r="D67"/>
  <c r="D66" s="1"/>
  <c r="D75"/>
  <c r="E76"/>
  <c r="F60"/>
  <c r="J60"/>
  <c r="H60"/>
  <c r="C60"/>
  <c r="C92" s="1"/>
  <c r="E60"/>
  <c r="G60"/>
  <c r="I60"/>
  <c r="J84" l="1"/>
  <c r="J92"/>
  <c r="I84"/>
  <c r="I92"/>
  <c r="E84"/>
  <c r="E92"/>
  <c r="H84"/>
  <c r="H92"/>
  <c r="F84"/>
  <c r="F92"/>
  <c r="G84"/>
  <c r="G92"/>
  <c r="C84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90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92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</commentList>
</comments>
</file>

<file path=xl/comments2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comments3.xml><?xml version="1.0" encoding="utf-8"?>
<comments xmlns="http://schemas.openxmlformats.org/spreadsheetml/2006/main">
  <authors>
    <author>AILTON</author>
  </authors>
  <commentList>
    <comment ref="B69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73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1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85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87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88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89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90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9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9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96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97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</commentList>
</comments>
</file>

<file path=xl/comments4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1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73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81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83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8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90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93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94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</commentList>
</comments>
</file>

<file path=xl/comments5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1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73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81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83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8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90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93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94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</commentList>
</comments>
</file>

<file path=xl/sharedStrings.xml><?xml version="1.0" encoding="utf-8"?>
<sst xmlns="http://schemas.openxmlformats.org/spreadsheetml/2006/main" count="4296" uniqueCount="1371">
  <si>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</si>
  <si>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</si>
  <si>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</si>
  <si>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</si>
  <si>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</si>
  <si>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</si>
  <si>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</si>
  <si>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</si>
  <si>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</si>
  <si>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</si>
  <si>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</si>
  <si>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</si>
  <si>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</si>
  <si>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</si>
  <si>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</si>
  <si>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</si>
  <si>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</si>
  <si>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</si>
  <si>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</si>
  <si>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</si>
  <si>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</si>
  <si>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</si>
  <si>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</si>
  <si>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</si>
  <si>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</si>
  <si>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</si>
  <si>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</si>
  <si>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</si>
  <si>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</si>
  <si>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</si>
  <si>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</si>
  <si>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</si>
  <si>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</si>
  <si>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</si>
  <si>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</si>
  <si>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</si>
  <si>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</si>
  <si>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</si>
  <si>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</si>
  <si>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</si>
  <si>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</si>
  <si>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</si>
  <si>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</si>
  <si>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</si>
  <si>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</si>
  <si>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</si>
  <si>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</si>
  <si>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</si>
  <si>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</si>
  <si>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</si>
  <si>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</si>
  <si>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</si>
  <si>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</si>
  <si>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</si>
  <si>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</si>
  <si>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</si>
  <si>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</si>
  <si>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</si>
  <si>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</si>
  <si>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</si>
  <si>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</si>
  <si>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</si>
  <si>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</si>
  <si>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</si>
  <si>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</si>
  <si>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</si>
  <si>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</si>
  <si>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</si>
  <si>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</si>
  <si>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</si>
  <si>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</si>
  <si>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</si>
  <si>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</si>
  <si>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</si>
  <si>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</si>
  <si>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</si>
  <si>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</si>
  <si>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</si>
  <si>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</si>
  <si>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</si>
  <si>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</si>
  <si>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</si>
  <si>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</si>
  <si>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</si>
  <si>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</si>
  <si>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</si>
  <si>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</si>
  <si>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</si>
  <si>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</si>
  <si>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</si>
  <si>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</si>
  <si>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</si>
  <si>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</si>
  <si>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</si>
  <si>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</si>
  <si>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</si>
  <si>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</si>
  <si>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</si>
  <si>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</si>
  <si>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</si>
  <si>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</si>
  <si>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</si>
  <si>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</si>
  <si>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</si>
  <si>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</si>
  <si>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</si>
  <si>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</si>
  <si>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</si>
  <si>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</si>
  <si>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</si>
  <si>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</si>
  <si>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</si>
  <si>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</si>
  <si>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</si>
  <si>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</si>
  <si>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</si>
  <si>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</si>
  <si>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</si>
  <si>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</si>
  <si>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</si>
  <si>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</si>
  <si>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</si>
  <si>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</si>
  <si>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</si>
  <si>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</si>
  <si>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</si>
  <si>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</si>
  <si>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</si>
  <si>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</si>
  <si>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</si>
  <si>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</si>
  <si>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</si>
  <si>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</si>
  <si>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</si>
  <si>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</si>
  <si>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</si>
  <si>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</si>
  <si>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</si>
  <si>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</si>
  <si>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</si>
  <si>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</si>
  <si>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</si>
  <si>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</si>
  <si>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</si>
  <si>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</si>
  <si>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</si>
  <si>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</si>
  <si>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</si>
  <si>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</si>
  <si>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</si>
  <si>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</si>
  <si>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</si>
  <si>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</si>
  <si>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</si>
  <si>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</si>
  <si>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</si>
  <si>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</si>
  <si>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</si>
  <si>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</si>
  <si>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</si>
  <si>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</si>
  <si>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</si>
  <si>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</si>
  <si>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</si>
  <si>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</si>
  <si>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</si>
  <si>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</si>
  <si>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</si>
  <si>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</si>
  <si>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</si>
  <si>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</si>
  <si>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</si>
  <si>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</si>
  <si>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</si>
  <si>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</si>
  <si>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</si>
  <si>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</si>
  <si>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</si>
  <si>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</si>
  <si>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</si>
  <si>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</si>
  <si>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</si>
  <si>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</si>
  <si>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</si>
  <si>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</si>
  <si>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</si>
  <si>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</si>
  <si>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</si>
  <si>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</si>
  <si>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</si>
  <si>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</si>
  <si>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</si>
  <si>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</si>
  <si>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</si>
  <si>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</si>
  <si>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</si>
  <si>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</si>
  <si>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</si>
  <si>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</si>
  <si>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</si>
  <si>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</si>
  <si>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</si>
  <si>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</si>
  <si>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</si>
  <si>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</si>
  <si>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</si>
  <si>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</si>
  <si>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</si>
  <si>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</si>
  <si>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</si>
  <si>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</si>
  <si>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</si>
  <si>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</si>
  <si>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</si>
  <si>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</si>
  <si>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</si>
  <si>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</si>
  <si>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</si>
  <si>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</si>
  <si>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</si>
  <si>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</si>
  <si>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</si>
  <si>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</si>
  <si>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</si>
  <si>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</si>
  <si>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</si>
  <si>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</si>
  <si>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</si>
  <si>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</si>
  <si>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</si>
  <si>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</si>
  <si>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</si>
  <si>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</si>
  <si>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</si>
  <si>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</si>
  <si>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</si>
  <si>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</si>
  <si>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</si>
  <si>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</si>
  <si>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</si>
  <si>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</si>
  <si>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</si>
  <si>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</si>
  <si>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</si>
  <si>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</si>
  <si>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</si>
  <si>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</si>
  <si>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</si>
  <si>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</si>
  <si>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</si>
  <si>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</si>
  <si>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</si>
  <si>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</si>
  <si>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</si>
  <si>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</si>
  <si>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</si>
  <si>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</si>
  <si>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</si>
  <si>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</si>
  <si>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</si>
  <si>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</si>
  <si>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</si>
  <si>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</si>
  <si>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</si>
  <si>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</si>
  <si>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</si>
  <si>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</si>
  <si>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</si>
  <si>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</si>
  <si>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</si>
  <si>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</si>
  <si>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</si>
  <si>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</si>
  <si>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</si>
  <si>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</si>
  <si>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</si>
  <si>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</si>
  <si>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</si>
  <si>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</si>
  <si>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</si>
  <si>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</si>
  <si>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</si>
  <si>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</si>
  <si>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</si>
  <si>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</si>
  <si>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</si>
  <si>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</si>
  <si>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</si>
  <si>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</si>
  <si>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</si>
  <si>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</si>
  <si>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</si>
  <si>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</si>
  <si>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</si>
  <si>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</si>
  <si>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</si>
  <si>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</si>
  <si>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</si>
  <si>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</si>
  <si>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</si>
  <si>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</si>
  <si>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</si>
  <si>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</si>
  <si>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</si>
  <si>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</si>
  <si>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</si>
  <si>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</si>
  <si>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</si>
  <si>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</si>
  <si>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</si>
  <si>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</si>
  <si>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</si>
  <si>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</si>
  <si>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</si>
  <si>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</si>
  <si>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</si>
  <si>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</si>
  <si>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</si>
  <si>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</si>
  <si>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</si>
  <si>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</si>
  <si>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</si>
  <si>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</si>
  <si>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</si>
  <si>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</si>
  <si>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</si>
  <si>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</si>
  <si>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</si>
  <si>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</si>
  <si>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</si>
  <si>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</si>
  <si>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</si>
  <si>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</si>
  <si>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</si>
  <si>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</si>
  <si>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</si>
  <si>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</si>
  <si>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</si>
  <si>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</si>
  <si>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</si>
  <si>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</si>
  <si>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</si>
  <si>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</si>
  <si>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</si>
  <si>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</si>
  <si>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</si>
  <si>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</si>
  <si>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</si>
  <si>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</si>
  <si>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</si>
  <si>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</si>
  <si>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</si>
  <si>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</si>
  <si>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</si>
  <si>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</si>
  <si>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</si>
  <si>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</si>
  <si>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</si>
  <si>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</si>
  <si>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</si>
  <si>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</si>
  <si>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</si>
  <si>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</si>
  <si>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</si>
  <si>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</si>
  <si>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</si>
  <si>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</si>
  <si>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</si>
  <si>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</si>
  <si>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</si>
  <si>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</si>
  <si>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</si>
  <si>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</si>
  <si>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</si>
  <si>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</si>
  <si>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</si>
  <si>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</si>
  <si>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</si>
  <si>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</si>
  <si>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</si>
  <si>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</si>
  <si>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</si>
  <si>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</si>
  <si>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</si>
  <si>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</si>
  <si>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</si>
  <si>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</si>
  <si>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</si>
  <si>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</si>
  <si>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</si>
  <si>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</si>
  <si>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</si>
  <si>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</si>
  <si>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</si>
  <si>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</si>
  <si>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</si>
  <si>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</si>
  <si>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</si>
  <si>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</si>
  <si>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</si>
  <si>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</si>
  <si>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</si>
  <si>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</si>
  <si>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</si>
  <si>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</si>
  <si>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</si>
  <si>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</si>
  <si>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</si>
  <si>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</si>
  <si>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</si>
  <si>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</si>
  <si>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</si>
  <si>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</si>
  <si>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</si>
  <si>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</si>
  <si>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</si>
  <si>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</si>
  <si>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</si>
  <si>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</si>
  <si>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</si>
  <si>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</si>
  <si>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</si>
  <si>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</si>
  <si>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</si>
  <si>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</si>
  <si>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</si>
  <si>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</si>
  <si>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</si>
  <si>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</si>
  <si>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</si>
  <si>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</si>
  <si>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</si>
  <si>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</si>
  <si>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</si>
  <si>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</si>
  <si>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</si>
  <si>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</si>
  <si>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</si>
  <si>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</si>
  <si>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</si>
  <si>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</si>
  <si>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</si>
  <si>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</si>
  <si>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</si>
  <si>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</si>
  <si>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</si>
  <si>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</si>
  <si>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</si>
  <si>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</si>
  <si>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</si>
  <si>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</si>
  <si>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</si>
  <si>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</si>
  <si>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</si>
  <si>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</si>
  <si>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</si>
  <si>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</si>
  <si>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</si>
  <si>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</si>
  <si>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</si>
  <si>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</si>
  <si>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</si>
  <si>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</si>
  <si>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</si>
  <si>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</si>
  <si>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</si>
  <si>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</si>
  <si>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</si>
  <si>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</si>
  <si>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</si>
  <si>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</si>
  <si>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</si>
  <si>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</si>
  <si>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</si>
  <si>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</si>
  <si>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</si>
  <si>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</si>
  <si>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</si>
  <si>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ABBOTT + SOLVAY</t>
  </si>
  <si>
    <t>ACHÉ</t>
  </si>
  <si>
    <t>ACTELION</t>
  </si>
  <si>
    <t>AMGEN - BERGAMO</t>
  </si>
  <si>
    <t>ASTRA ZENECA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</si>
  <si>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</si>
  <si>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</si>
  <si>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</si>
  <si>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</si>
  <si>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</si>
  <si>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</si>
  <si>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</si>
  <si>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</si>
  <si>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</si>
  <si>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</si>
  <si>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JANSSEN-CILAG</t>
  </si>
  <si>
    <t>LEO PHARMA</t>
  </si>
  <si>
    <t>MEAD JOHNSON</t>
  </si>
  <si>
    <t>MERCK - SERONO SP/RJ</t>
  </si>
  <si>
    <t>MERCK AG - SERONO RJ</t>
  </si>
  <si>
    <t>MERZBIOLAB</t>
  </si>
  <si>
    <t>MSD</t>
  </si>
  <si>
    <t>NESTLE</t>
  </si>
  <si>
    <t>NOVARTIS - SANDOZ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</si>
  <si>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</si>
  <si>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</si>
  <si>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</si>
  <si>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</si>
  <si>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</si>
  <si>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</si>
  <si>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</si>
  <si>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</si>
  <si>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</si>
  <si>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</si>
  <si>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</si>
  <si>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</si>
  <si>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</si>
  <si>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</si>
  <si>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</si>
  <si>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</si>
  <si>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</si>
  <si>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</si>
  <si>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</si>
  <si>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</si>
  <si>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</si>
  <si>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</si>
  <si>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</si>
  <si>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</si>
  <si>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</si>
  <si>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</si>
  <si>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</si>
  <si>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</si>
  <si>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</si>
  <si>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</si>
  <si>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</si>
  <si>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</si>
  <si>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</si>
  <si>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</si>
  <si>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</si>
  <si>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</si>
  <si>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</si>
  <si>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</si>
  <si>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</si>
  <si>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</si>
  <si>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</si>
  <si>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</si>
  <si>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</si>
  <si>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</si>
  <si>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</si>
  <si>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</si>
  <si>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</si>
  <si>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</si>
  <si>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</si>
  <si>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</si>
  <si>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</si>
  <si>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</si>
  <si>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</si>
  <si>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</si>
  <si>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</si>
  <si>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</si>
  <si>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</si>
  <si>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</si>
  <si>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</si>
  <si>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</si>
  <si>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</si>
  <si>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</si>
  <si>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</si>
  <si>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</si>
  <si>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</si>
  <si>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</si>
  <si>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</si>
  <si>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</si>
  <si>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</si>
  <si>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</si>
  <si>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</si>
  <si>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</si>
  <si>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</si>
  <si>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</si>
  <si>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</si>
  <si>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</si>
  <si>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</si>
  <si>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</si>
  <si>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</si>
  <si>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</si>
  <si>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</si>
  <si>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</si>
  <si>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</si>
  <si>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</si>
  <si>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</si>
  <si>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</si>
  <si>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</si>
  <si>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</si>
  <si>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</si>
  <si>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</si>
  <si>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</si>
  <si>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</si>
  <si>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</si>
  <si>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</si>
  <si>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</si>
  <si>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</si>
  <si>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</si>
  <si>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</si>
  <si>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</si>
  <si>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</si>
  <si>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</si>
  <si>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</si>
  <si>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</si>
  <si>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</si>
  <si>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</si>
  <si>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</si>
  <si>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</si>
  <si>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</si>
  <si>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</si>
  <si>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</si>
  <si>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</si>
  <si>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</si>
  <si>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</si>
  <si>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</si>
  <si>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</si>
  <si>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</si>
  <si>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</si>
  <si>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</si>
  <si>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</si>
  <si>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</si>
  <si>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</si>
  <si>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</si>
  <si>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</si>
  <si>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</si>
  <si>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</si>
  <si>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</si>
  <si>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</si>
  <si>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</si>
  <si>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</si>
  <si>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</si>
  <si>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</si>
  <si>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</si>
  <si>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</si>
  <si>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</si>
  <si>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</si>
  <si>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 xml:space="preserve">BAYER SCHERING </t>
  </si>
  <si>
    <t>INDICE</t>
  </si>
  <si>
    <t>BIOLAB</t>
  </si>
  <si>
    <t>BOEHRINGER INGELHEIM</t>
  </si>
  <si>
    <t>BRISTOL MYERS SQUIBB</t>
  </si>
  <si>
    <t>CELLOFARMA</t>
  </si>
  <si>
    <t>ELI LILLY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</si>
  <si>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</si>
  <si>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</si>
  <si>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</si>
  <si>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</si>
  <si>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</si>
  <si>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</si>
  <si>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</si>
  <si>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</si>
  <si>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</si>
  <si>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</si>
  <si>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</si>
  <si>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</si>
  <si>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</si>
  <si>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</si>
  <si>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</si>
  <si>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</si>
  <si>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</si>
  <si>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</si>
  <si>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</si>
  <si>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NOVO NORDISK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</si>
  <si>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</si>
  <si>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</si>
  <si>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</si>
  <si>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</si>
  <si>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</si>
  <si>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</si>
  <si>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</si>
  <si>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</si>
  <si>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</si>
  <si>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</si>
  <si>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</si>
  <si>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</si>
  <si>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</si>
  <si>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</si>
  <si>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</si>
  <si>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</si>
  <si>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</si>
  <si>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</si>
  <si>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</si>
  <si>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</si>
  <si>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</si>
  <si>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</si>
  <si>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</si>
  <si>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</si>
  <si>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</si>
  <si>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</si>
  <si>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</si>
  <si>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</si>
  <si>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</si>
  <si>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</si>
  <si>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</si>
  <si>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</si>
  <si>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</si>
  <si>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</si>
  <si>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</si>
  <si>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</si>
  <si>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</si>
  <si>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</si>
  <si>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</si>
  <si>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</si>
  <si>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</si>
  <si>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</si>
  <si>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</si>
  <si>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</si>
  <si>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</si>
  <si>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</si>
  <si>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</si>
  <si>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</si>
  <si>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</si>
  <si>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</si>
  <si>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</si>
  <si>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</si>
  <si>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</si>
  <si>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</si>
  <si>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</si>
  <si>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</si>
  <si>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</si>
  <si>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</si>
  <si>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</si>
  <si>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</si>
  <si>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</si>
  <si>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</si>
  <si>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</si>
  <si>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</si>
  <si>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</si>
  <si>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</si>
  <si>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</si>
  <si>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</si>
  <si>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</si>
  <si>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</si>
  <si>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</si>
  <si>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</si>
  <si>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</si>
  <si>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</si>
  <si>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</si>
  <si>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</si>
  <si>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</si>
  <si>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</si>
  <si>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</si>
  <si>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</si>
  <si>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</si>
  <si>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</si>
  <si>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</si>
  <si>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</si>
  <si>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</si>
  <si>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</si>
  <si>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</si>
  <si>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</si>
  <si>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</si>
  <si>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</si>
  <si>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</si>
  <si>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</si>
  <si>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</si>
  <si>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</si>
  <si>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</si>
  <si>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</si>
  <si>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</si>
  <si>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</si>
  <si>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</si>
  <si>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</si>
  <si>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</si>
  <si>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</si>
  <si>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</si>
  <si>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</si>
  <si>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</si>
  <si>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</si>
  <si>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</si>
  <si>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</si>
  <si>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</si>
  <si>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</si>
  <si>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</si>
  <si>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</si>
  <si>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</si>
  <si>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</si>
  <si>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</si>
  <si>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</si>
  <si>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</si>
  <si>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</si>
  <si>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</si>
  <si>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</si>
  <si>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</si>
  <si>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</si>
  <si>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</si>
  <si>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</si>
  <si>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</si>
  <si>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</si>
  <si>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</si>
  <si>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</si>
  <si>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</si>
  <si>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</si>
  <si>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</si>
  <si>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</si>
  <si>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</si>
  <si>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</si>
  <si>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</si>
  <si>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</si>
  <si>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</si>
  <si>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</si>
  <si>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</si>
  <si>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</si>
  <si>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</si>
  <si>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</si>
  <si>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</si>
  <si>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</si>
  <si>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</si>
  <si>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</si>
  <si>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</si>
  <si>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</si>
  <si>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</si>
  <si>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</si>
  <si>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</si>
  <si>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</si>
  <si>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</si>
  <si>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</si>
  <si>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</si>
  <si>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</si>
  <si>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</si>
  <si>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</si>
  <si>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</si>
  <si>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</si>
  <si>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</si>
  <si>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</si>
  <si>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</si>
  <si>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</si>
  <si>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</si>
  <si>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</si>
  <si>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</si>
  <si>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</si>
  <si>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</si>
  <si>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</si>
  <si>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</si>
  <si>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</si>
  <si>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</si>
  <si>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</si>
  <si>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</si>
  <si>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</si>
  <si>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</si>
  <si>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</si>
  <si>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</si>
  <si>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</si>
  <si>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</si>
  <si>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</si>
  <si>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</si>
  <si>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</si>
  <si>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</si>
  <si>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</si>
  <si>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</si>
  <si>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</si>
  <si>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</si>
  <si>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</si>
  <si>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</si>
  <si>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</si>
  <si>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</si>
  <si>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</si>
  <si>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</si>
  <si>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</si>
  <si>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</si>
  <si>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</si>
  <si>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</si>
  <si>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</si>
  <si>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</si>
  <si>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</si>
  <si>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</si>
  <si>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</si>
  <si>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</si>
  <si>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</si>
  <si>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</si>
  <si>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</si>
  <si>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</si>
  <si>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</si>
  <si>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</si>
  <si>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</si>
  <si>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</si>
  <si>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</si>
  <si>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</si>
  <si>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</si>
  <si>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</si>
  <si>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</si>
  <si>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</si>
  <si>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</si>
  <si>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</si>
  <si>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</si>
  <si>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</si>
  <si>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</si>
  <si>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</si>
  <si>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</si>
  <si>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</si>
  <si>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</si>
  <si>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</si>
  <si>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</si>
  <si>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</si>
  <si>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</si>
  <si>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</si>
  <si>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</si>
  <si>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</si>
  <si>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</si>
  <si>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</si>
  <si>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</si>
  <si>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</si>
  <si>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</si>
  <si>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</si>
  <si>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</si>
  <si>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</si>
  <si>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</si>
  <si>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</si>
  <si>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</si>
  <si>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</si>
  <si>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</si>
  <si>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</si>
  <si>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</si>
  <si>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</si>
  <si>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</si>
  <si>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</si>
  <si>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</si>
  <si>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</si>
  <si>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</si>
  <si>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</si>
  <si>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</si>
  <si>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</si>
  <si>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</si>
  <si>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</si>
  <si>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</si>
  <si>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</si>
  <si>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</si>
  <si>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</si>
  <si>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</si>
  <si>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</si>
  <si>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</si>
  <si>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</si>
  <si>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</si>
  <si>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</si>
  <si>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</si>
  <si>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</si>
  <si>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</si>
  <si>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</si>
  <si>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</si>
  <si>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</si>
  <si>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</si>
  <si>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</si>
  <si>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</si>
  <si>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</si>
  <si>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</si>
  <si>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</si>
  <si>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</si>
  <si>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</si>
  <si>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</si>
  <si>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</si>
  <si>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</si>
  <si>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</si>
  <si>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</si>
  <si>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</si>
  <si>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</si>
  <si>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</si>
  <si>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</si>
  <si>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</si>
  <si>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</si>
  <si>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</si>
  <si>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</si>
  <si>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</si>
  <si>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</si>
  <si>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</si>
  <si>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</si>
  <si>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</si>
  <si>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</si>
  <si>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</si>
  <si>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</si>
  <si>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</si>
  <si>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</si>
  <si>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</si>
  <si>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</si>
  <si>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</si>
  <si>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</si>
  <si>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</si>
  <si>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</si>
  <si>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</si>
  <si>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</si>
  <si>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</si>
  <si>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</si>
  <si>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</si>
  <si>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</si>
  <si>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</si>
  <si>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</si>
  <si>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</si>
  <si>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</si>
  <si>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</si>
  <si>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</si>
  <si>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</si>
  <si>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</si>
  <si>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</si>
  <si>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</si>
  <si>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</si>
  <si>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</si>
  <si>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</si>
  <si>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</si>
  <si>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</si>
  <si>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</si>
  <si>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</si>
  <si>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</si>
  <si>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</si>
  <si>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</si>
  <si>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</si>
  <si>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</si>
  <si>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</si>
  <si>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</si>
  <si>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</si>
  <si>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</si>
  <si>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</si>
  <si>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</si>
  <si>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</si>
  <si>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</si>
  <si>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</si>
  <si>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</si>
  <si>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</si>
  <si>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</si>
  <si>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</si>
  <si>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</si>
  <si>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</si>
  <si>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</si>
  <si>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</si>
  <si>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</si>
  <si>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</si>
  <si>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</si>
  <si>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</si>
  <si>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</si>
  <si>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</si>
  <si>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</si>
  <si>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</si>
  <si>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</si>
  <si>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</si>
  <si>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</si>
  <si>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</si>
  <si>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</si>
  <si>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</si>
  <si>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</si>
  <si>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</si>
  <si>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</si>
  <si>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</si>
  <si>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</si>
  <si>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</si>
  <si>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</si>
  <si>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</si>
  <si>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</si>
  <si>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</si>
  <si>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</si>
  <si>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</si>
  <si>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</si>
  <si>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</si>
  <si>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</si>
  <si>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</si>
  <si>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</si>
  <si>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</si>
  <si>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</si>
  <si>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</si>
  <si>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</si>
  <si>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</si>
  <si>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</si>
  <si>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</si>
  <si>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</si>
  <si>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</si>
  <si>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</si>
  <si>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</si>
  <si>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</si>
  <si>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</si>
  <si>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</si>
  <si>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</si>
  <si>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</si>
  <si>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</si>
  <si>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</si>
  <si>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</si>
  <si>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</si>
  <si>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</si>
  <si>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</si>
  <si>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</si>
  <si>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</si>
  <si>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</si>
  <si>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</si>
  <si>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</si>
  <si>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</si>
  <si>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</si>
  <si>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</si>
  <si>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</si>
  <si>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</si>
  <si>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</si>
  <si>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</si>
  <si>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</si>
  <si>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</si>
  <si>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</si>
  <si>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</si>
  <si>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</si>
  <si>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</si>
  <si>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</si>
  <si>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</si>
  <si>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</si>
  <si>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</si>
  <si>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</si>
  <si>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</si>
  <si>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</si>
  <si>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</si>
  <si>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</si>
  <si>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</si>
  <si>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</si>
  <si>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</si>
  <si>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</si>
  <si>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</si>
  <si>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</si>
  <si>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</si>
  <si>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</si>
  <si>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</si>
  <si>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</si>
  <si>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</si>
  <si>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</si>
  <si>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</si>
  <si>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</si>
  <si>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</si>
  <si>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</si>
  <si>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</si>
  <si>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</si>
  <si>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</si>
  <si>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</si>
  <si>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</si>
  <si>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</si>
  <si>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</si>
  <si>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</si>
  <si>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</si>
  <si>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</si>
  <si>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</si>
  <si>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</si>
  <si>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</si>
  <si>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</si>
  <si>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</si>
  <si>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</si>
  <si>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</si>
  <si>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</si>
  <si>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</si>
  <si>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</si>
  <si>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</si>
  <si>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</si>
  <si>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</si>
  <si>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</si>
  <si>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</si>
  <si>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</si>
  <si>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</si>
  <si>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</si>
  <si>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</si>
  <si>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</si>
  <si>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</si>
  <si>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</si>
  <si>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</si>
  <si>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</si>
  <si>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</si>
  <si>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</si>
  <si>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</si>
  <si>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</si>
  <si>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</si>
  <si>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</si>
  <si>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</si>
  <si>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</si>
  <si>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</si>
  <si>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</si>
  <si>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</si>
  <si>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</si>
  <si>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</si>
  <si>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</si>
  <si>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</si>
  <si>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</si>
  <si>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</si>
  <si>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</si>
  <si>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</si>
  <si>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</si>
  <si>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</si>
  <si>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</si>
  <si>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</si>
  <si>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</si>
  <si>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</si>
  <si>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</si>
  <si>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</si>
  <si>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</si>
  <si>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</si>
  <si>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</si>
  <si>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</si>
  <si>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</si>
  <si>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</si>
  <si>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</si>
  <si>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</si>
  <si>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</si>
  <si>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</si>
  <si>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</si>
  <si>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</si>
  <si>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</si>
  <si>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</si>
  <si>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</si>
  <si>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</si>
  <si>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</si>
  <si>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</si>
  <si>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</si>
  <si>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</si>
  <si>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</si>
  <si>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</si>
  <si>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</si>
  <si>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</si>
  <si>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</si>
  <si>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</si>
  <si>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</si>
  <si>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</si>
  <si>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</si>
  <si>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</si>
  <si>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</si>
  <si>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</si>
  <si>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</si>
  <si>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</si>
  <si>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</si>
  <si>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</si>
  <si>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</si>
  <si>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</si>
  <si>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</si>
  <si>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</si>
  <si>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</si>
  <si>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</si>
  <si>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</si>
  <si>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</si>
  <si>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</si>
  <si>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</si>
  <si>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</si>
  <si>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</si>
  <si>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</si>
  <si>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</si>
  <si>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</si>
  <si>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</si>
  <si>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</si>
  <si>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</si>
  <si>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</si>
  <si>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</si>
  <si>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</si>
  <si>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</si>
  <si>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</si>
  <si>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</si>
  <si>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</si>
  <si>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</si>
  <si>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</si>
  <si>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</si>
  <si>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</si>
  <si>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</si>
  <si>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</si>
  <si>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</si>
  <si>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</si>
  <si>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</si>
  <si>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</si>
  <si>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</si>
  <si>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</si>
  <si>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</si>
  <si>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</si>
  <si>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</si>
  <si>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</si>
  <si>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</si>
  <si>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</si>
  <si>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</si>
  <si>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</si>
  <si>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</si>
  <si>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</si>
  <si>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</si>
  <si>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</si>
  <si>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</si>
  <si>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</si>
  <si>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</si>
  <si>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</si>
  <si>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</si>
  <si>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</si>
  <si>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</si>
  <si>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</si>
  <si>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</si>
  <si>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</si>
  <si>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</si>
  <si>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C:\Users\AILTON\Desktop\WORK\__SPRINGER\SPRINGER\db\dbOrcamentos.mdb</t>
  </si>
  <si>
    <t>FASCÍCULOS VENDIDOS:</t>
  </si>
  <si>
    <t>PATRICIA MIRRA</t>
  </si>
  <si>
    <t>INICIO</t>
  </si>
  <si>
    <t>TERMINIO</t>
  </si>
  <si>
    <t>ID</t>
  </si>
  <si>
    <t>NOME</t>
  </si>
  <si>
    <t>PROFISSÃO</t>
  </si>
  <si>
    <t>DOUTOR</t>
  </si>
  <si>
    <t>VANESSA VICTORELLO</t>
  </si>
  <si>
    <t xml:space="preserve">Guilherme Baldan - Compras </t>
  </si>
  <si>
    <t xml:space="preserve">Disposnibilização de aertigos em Pen Drive. </t>
  </si>
  <si>
    <t>12/05/2014</t>
  </si>
  <si>
    <t>Novo</t>
  </si>
  <si>
    <t>PRODUTO</t>
  </si>
  <si>
    <t>REAL</t>
  </si>
  <si>
    <t/>
  </si>
  <si>
    <t>3º PARTY CONTR. NO-EXCLUSIVE</t>
  </si>
  <si>
    <t>3º PARTY NO CONTRACTUAL</t>
  </si>
  <si>
    <t>ASCO BD &amp; LOCAL DEVELOPMENT</t>
  </si>
  <si>
    <t>1,00000</t>
  </si>
  <si>
    <t>DOLAR</t>
  </si>
  <si>
    <t>2,3853</t>
  </si>
  <si>
    <t>GBP</t>
  </si>
  <si>
    <t>3,40000</t>
  </si>
  <si>
    <t>EURO</t>
  </si>
  <si>
    <t>3,2581</t>
  </si>
  <si>
    <t>YEN</t>
  </si>
  <si>
    <t>0,0241467</t>
  </si>
  <si>
    <t>CHF</t>
  </si>
  <si>
    <t>2,58044</t>
  </si>
  <si>
    <t>SERVIÇO</t>
  </si>
  <si>
    <t>0,1425</t>
  </si>
  <si>
    <t>0,0925</t>
  </si>
  <si>
    <t>PADRÃO DE TRABALHO</t>
  </si>
  <si>
    <t>JORNAL</t>
  </si>
  <si>
    <t>1-16</t>
  </si>
  <si>
    <t>SEPARATAS</t>
  </si>
  <si>
    <t>ABSTRACT</t>
  </si>
  <si>
    <t>BLOCO</t>
  </si>
  <si>
    <t>DISPLAY</t>
  </si>
  <si>
    <t>LIVROS</t>
  </si>
  <si>
    <t>1-1</t>
  </si>
  <si>
    <t>Descrição</t>
  </si>
  <si>
    <t>Inicio</t>
  </si>
  <si>
    <t>Términio</t>
  </si>
  <si>
    <t>JORNALISTA</t>
  </si>
  <si>
    <t>4</t>
  </si>
  <si>
    <t>24</t>
  </si>
  <si>
    <t>3º PARTY NOW CONTRACTUAL</t>
  </si>
  <si>
    <t>NÃO</t>
  </si>
  <si>
    <t>AAA</t>
  </si>
  <si>
    <t>PREÇO VENDA GROSS COMPRAS:</t>
  </si>
  <si>
    <t>PREÇO VENDA GROSS MARKETING:</t>
  </si>
  <si>
    <t>UNITARIO GROSS COMPRAS:</t>
  </si>
  <si>
    <t>PREÇO MARKETING NET:</t>
  </si>
  <si>
    <t>PREÇO COMPRAS NET:</t>
  </si>
  <si>
    <t>PREÇO TOTAL (FASCICULOS) COMPRAS:</t>
  </si>
  <si>
    <t>PREÇO TOTAL (FASCICULOS) MKT:</t>
  </si>
  <si>
    <t>UNITARIO GROSS MKT:</t>
  </si>
  <si>
    <t>PROJETO</t>
  </si>
  <si>
    <t>GERENTE DE VENDAS</t>
  </si>
  <si>
    <t>NOME:</t>
  </si>
  <si>
    <t>TELEFONE:</t>
  </si>
  <si>
    <t>CELULAR_01:</t>
  </si>
  <si>
    <t>CELULAR_02:</t>
  </si>
  <si>
    <t>E-MAIL:</t>
  </si>
  <si>
    <t>AILTON ZACARIAS</t>
  </si>
  <si>
    <t>2373-7625</t>
  </si>
  <si>
    <t>9.2373-7625</t>
  </si>
  <si>
    <t>9.3373-7625</t>
  </si>
  <si>
    <t>ailtonzsilva@gmail.com</t>
  </si>
  <si>
    <t>MODELO DE PROPOSTA</t>
  </si>
  <si>
    <t>Proposta - Springer Brasil - 2014.docx</t>
  </si>
  <si>
    <t>CAMINHO:</t>
  </si>
  <si>
    <t>ARQUIVO:</t>
  </si>
  <si>
    <t>x</t>
  </si>
  <si>
    <t>20/8/14</t>
  </si>
  <si>
    <t>21/8/14</t>
  </si>
  <si>
    <t>RESPONSAVEL</t>
  </si>
  <si>
    <t>TITULO</t>
  </si>
  <si>
    <t>CITAÇÃO</t>
  </si>
  <si>
    <t>não</t>
  </si>
  <si>
    <t>teste de uso 2</t>
  </si>
  <si>
    <t>teste de uso 3</t>
  </si>
  <si>
    <t>ñ</t>
  </si>
  <si>
    <t>0,02</t>
  </si>
  <si>
    <t>PADRÃO</t>
  </si>
  <si>
    <t>AILTON</t>
  </si>
  <si>
    <t>DR</t>
  </si>
  <si>
    <t>JOSE</t>
  </si>
  <si>
    <t>MARIA</t>
  </si>
  <si>
    <t>ANTONIO</t>
  </si>
  <si>
    <t>CARLOS</t>
  </si>
  <si>
    <t>KATIA</t>
  </si>
</sst>
</file>

<file path=xl/styles.xml><?xml version="1.0" encoding="utf-8"?>
<styleSheet xmlns="http://schemas.openxmlformats.org/spreadsheetml/2006/main">
  <numFmts count="13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0.0%"/>
    <numFmt numFmtId="172" formatCode="_(&quot;R$&quot;* #,##0.00_);_(&quot;R$&quot;* \(#,##0.00\);_(&quot;R$&quot;* &quot;-&quot;??_);_(@_)"/>
    <numFmt numFmtId="173" formatCode="_-[$$-409]* #,##0.00_ ;_-[$$-409]* \-#,##0.00\ ;_-[$$-409]* &quot;-&quot;??_ ;_-@_ "/>
  </numFmts>
  <fonts count="5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indexed="9"/>
      <name val="Trebuchet MS"/>
      <family val="2"/>
    </font>
    <font>
      <b/>
      <sz val="12"/>
      <color theme="1"/>
      <name val="Trebuchet MS"/>
      <family val="2"/>
    </font>
    <font>
      <b/>
      <sz val="18"/>
      <name val="Trebuchet MS"/>
      <family val="2"/>
    </font>
    <font>
      <u/>
      <sz val="11"/>
      <color indexed="12"/>
      <name val="Calibri"/>
      <family val="2"/>
    </font>
    <font>
      <sz val="11"/>
      <name val="SimSun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483">
    <xf numFmtId="0" fontId="0" fillId="0" borderId="0" xfId="0"/>
    <xf numFmtId="0" fontId="13" fillId="2" borderId="10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2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3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1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164" fontId="38" fillId="0" borderId="0" xfId="20" applyNumberFormat="1" applyFont="1" applyFill="1" applyBorder="1" applyAlignment="1">
      <alignment horizontal="center" vertical="center"/>
    </xf>
    <xf numFmtId="0" fontId="39" fillId="18" borderId="0" xfId="0" applyFont="1" applyFill="1" applyBorder="1" applyAlignment="1">
      <alignment horizontal="left" vertical="center"/>
    </xf>
    <xf numFmtId="172" fontId="38" fillId="0" borderId="0" xfId="0" applyNumberFormat="1" applyFont="1" applyFill="1" applyBorder="1" applyAlignment="1">
      <alignment horizontal="right" vertical="center"/>
    </xf>
    <xf numFmtId="164" fontId="38" fillId="0" borderId="1" xfId="20" applyNumberFormat="1" applyFont="1" applyFill="1" applyBorder="1" applyAlignment="1">
      <alignment horizontal="center" vertical="center"/>
    </xf>
    <xf numFmtId="43" fontId="0" fillId="0" borderId="0" xfId="0" applyNumberFormat="1"/>
    <xf numFmtId="44" fontId="0" fillId="0" borderId="0" xfId="0" applyNumberFormat="1"/>
    <xf numFmtId="171" fontId="0" fillId="0" borderId="0" xfId="0" applyNumberFormat="1"/>
    <xf numFmtId="0" fontId="39" fillId="18" borderId="1" xfId="0" applyFont="1" applyFill="1" applyBorder="1" applyAlignment="1">
      <alignment horizontal="center" vertical="center"/>
    </xf>
    <xf numFmtId="43" fontId="46" fillId="12" borderId="1" xfId="0" applyNumberFormat="1" applyFont="1" applyFill="1" applyBorder="1" applyAlignment="1">
      <alignment horizontal="center" vertical="center"/>
    </xf>
    <xf numFmtId="44" fontId="46" fillId="12" borderId="1" xfId="20" applyFont="1" applyFill="1" applyBorder="1" applyAlignment="1">
      <alignment horizontal="center" vertical="center"/>
    </xf>
    <xf numFmtId="171" fontId="47" fillId="12" borderId="1" xfId="1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8" applyFont="1" applyBorder="1" applyAlignment="1">
      <alignment horizontal="center" vertical="center"/>
    </xf>
    <xf numFmtId="44" fontId="46" fillId="12" borderId="19" xfId="20" applyFont="1" applyFill="1" applyBorder="1" applyAlignment="1">
      <alignment horizontal="center" vertical="center"/>
    </xf>
    <xf numFmtId="44" fontId="27" fillId="0" borderId="36" xfId="0" applyNumberFormat="1" applyFont="1" applyBorder="1"/>
    <xf numFmtId="9" fontId="47" fillId="12" borderId="1" xfId="12" applyFont="1" applyFill="1" applyBorder="1" applyAlignment="1">
      <alignment horizontal="center" vertical="center"/>
    </xf>
    <xf numFmtId="171" fontId="38" fillId="0" borderId="1" xfId="12" applyNumberFormat="1" applyFont="1" applyFill="1" applyBorder="1" applyAlignment="1">
      <alignment horizontal="center" vertical="center"/>
    </xf>
    <xf numFmtId="0" fontId="8" fillId="19" borderId="2" xfId="8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 vertical="center"/>
    </xf>
    <xf numFmtId="49" fontId="14" fillId="3" borderId="1" xfId="8" applyNumberFormat="1" applyFont="1" applyFill="1" applyBorder="1" applyAlignment="1">
      <alignment horizontal="center" vertical="center"/>
    </xf>
    <xf numFmtId="0" fontId="5" fillId="0" borderId="0" xfId="8" applyFont="1" applyFill="1" applyBorder="1" applyAlignment="1">
      <alignment horizontal="center" vertical="center"/>
    </xf>
    <xf numFmtId="0" fontId="15" fillId="0" borderId="0" xfId="8" applyFont="1" applyFill="1" applyBorder="1" applyAlignment="1">
      <alignment horizontal="center" vertical="center"/>
    </xf>
    <xf numFmtId="0" fontId="4" fillId="0" borderId="0" xfId="8" applyFont="1" applyFill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164" fontId="38" fillId="0" borderId="1" xfId="20" applyNumberFormat="1" applyFont="1" applyFill="1" applyBorder="1" applyAlignment="1">
      <alignment horizontal="center" vertical="center"/>
    </xf>
    <xf numFmtId="44" fontId="34" fillId="4" borderId="34" xfId="20" applyFont="1" applyFill="1" applyBorder="1" applyAlignment="1" applyProtection="1">
      <alignment horizontal="center" vertical="center"/>
      <protection hidden="1"/>
    </xf>
    <xf numFmtId="9" fontId="34" fillId="4" borderId="34" xfId="12" applyFont="1" applyFill="1" applyBorder="1" applyAlignment="1" applyProtection="1">
      <alignment horizontal="center" vertical="center"/>
    </xf>
    <xf numFmtId="0" fontId="35" fillId="4" borderId="1" xfId="8" applyFont="1" applyFill="1" applyBorder="1" applyAlignment="1" applyProtection="1">
      <alignment vertical="center"/>
    </xf>
    <xf numFmtId="0" fontId="35" fillId="4" borderId="1" xfId="8" applyFont="1" applyFill="1" applyBorder="1" applyAlignment="1" applyProtection="1">
      <alignment horizontal="center" vertical="center"/>
    </xf>
    <xf numFmtId="167" fontId="35" fillId="4" borderId="1" xfId="8" applyNumberFormat="1" applyFont="1" applyFill="1" applyBorder="1" applyAlignment="1">
      <alignment horizontal="center" vertical="center" wrapText="1"/>
    </xf>
    <xf numFmtId="9" fontId="35" fillId="4" borderId="1" xfId="8" applyNumberFormat="1" applyFont="1" applyFill="1" applyBorder="1" applyAlignment="1" applyProtection="1">
      <alignment horizontal="center" vertical="center" wrapText="1"/>
    </xf>
    <xf numFmtId="4" fontId="35" fillId="4" borderId="1" xfId="8" applyNumberFormat="1" applyFont="1" applyFill="1" applyBorder="1" applyAlignment="1">
      <alignment horizontal="center" vertical="center" wrapText="1"/>
    </xf>
    <xf numFmtId="0" fontId="35" fillId="4" borderId="1" xfId="8" applyFont="1" applyFill="1" applyBorder="1" applyAlignment="1" applyProtection="1">
      <alignment horizontal="center" vertical="center" wrapText="1"/>
    </xf>
    <xf numFmtId="0" fontId="35" fillId="4" borderId="19" xfId="8" applyFont="1" applyFill="1" applyBorder="1" applyAlignment="1" applyProtection="1">
      <alignment horizontal="center" vertical="center"/>
    </xf>
    <xf numFmtId="3" fontId="35" fillId="4" borderId="36" xfId="18" applyNumberFormat="1" applyFont="1" applyFill="1" applyBorder="1" applyAlignment="1" applyProtection="1">
      <alignment horizontal="center" vertical="center"/>
    </xf>
    <xf numFmtId="3" fontId="35" fillId="4" borderId="9" xfId="18" applyNumberFormat="1" applyFont="1" applyFill="1" applyBorder="1" applyAlignment="1" applyProtection="1">
      <alignment horizontal="center" vertical="center" wrapText="1"/>
    </xf>
    <xf numFmtId="0" fontId="35" fillId="4" borderId="9" xfId="8" applyFont="1" applyFill="1" applyBorder="1" applyAlignment="1">
      <alignment horizontal="center" vertical="center" wrapText="1"/>
    </xf>
    <xf numFmtId="0" fontId="35" fillId="4" borderId="9" xfId="8" applyFont="1" applyFill="1" applyBorder="1" applyAlignment="1" applyProtection="1">
      <alignment horizontal="center" vertical="center" wrapText="1"/>
    </xf>
    <xf numFmtId="0" fontId="35" fillId="4" borderId="19" xfId="8" applyFont="1" applyFill="1" applyBorder="1" applyAlignment="1">
      <alignment horizontal="center" vertical="center" wrapText="1"/>
    </xf>
    <xf numFmtId="0" fontId="35" fillId="4" borderId="19" xfId="8" applyFont="1" applyFill="1" applyBorder="1" applyAlignment="1" applyProtection="1">
      <alignment horizontal="center" vertical="center" wrapText="1"/>
    </xf>
    <xf numFmtId="0" fontId="35" fillId="4" borderId="1" xfId="8" applyFont="1" applyFill="1" applyBorder="1" applyAlignment="1">
      <alignment horizontal="center" vertical="center" wrapText="1"/>
    </xf>
    <xf numFmtId="44" fontId="35" fillId="4" borderId="1" xfId="20" applyFont="1" applyFill="1" applyBorder="1" applyAlignment="1">
      <alignment horizontal="center" vertical="center"/>
    </xf>
    <xf numFmtId="0" fontId="8" fillId="4" borderId="1" xfId="8" applyFont="1" applyFill="1" applyBorder="1" applyAlignment="1">
      <alignment horizontal="center" vertical="center" wrapText="1"/>
    </xf>
    <xf numFmtId="0" fontId="8" fillId="4" borderId="1" xfId="8" applyFont="1" applyFill="1" applyBorder="1" applyAlignment="1" applyProtection="1">
      <alignment horizontal="center" vertical="center" wrapText="1"/>
    </xf>
    <xf numFmtId="0" fontId="8" fillId="20" borderId="2" xfId="8" applyFont="1" applyFill="1" applyBorder="1" applyAlignment="1">
      <alignment horizontal="right" vertical="center"/>
    </xf>
    <xf numFmtId="0" fontId="4" fillId="0" borderId="1" xfId="8" applyFont="1" applyFill="1" applyBorder="1" applyAlignment="1">
      <alignment horizontal="right" vertical="center"/>
    </xf>
    <xf numFmtId="17" fontId="2" fillId="0" borderId="1" xfId="0" quotePrefix="1" applyNumberFormat="1" applyFont="1" applyFill="1" applyBorder="1" applyAlignment="1">
      <alignment horizontal="center"/>
    </xf>
    <xf numFmtId="0" fontId="2" fillId="0" borderId="1" xfId="0" quotePrefix="1" applyFont="1" applyFill="1" applyBorder="1" applyAlignment="1">
      <alignment horizontal="center"/>
    </xf>
    <xf numFmtId="0" fontId="4" fillId="0" borderId="0" xfId="8" applyFont="1" applyFill="1" applyBorder="1" applyAlignment="1">
      <alignment horizontal="left" vertical="center"/>
    </xf>
    <xf numFmtId="0" fontId="2" fillId="0" borderId="0" xfId="8" applyAlignment="1">
      <alignment horizontal="left" vertical="center"/>
    </xf>
    <xf numFmtId="0" fontId="23" fillId="0" borderId="0" xfId="8" applyFont="1" applyAlignment="1">
      <alignment horizontal="left" vertical="center" wrapText="1"/>
    </xf>
    <xf numFmtId="0" fontId="5" fillId="0" borderId="0" xfId="8" applyFont="1" applyFill="1" applyBorder="1" applyAlignment="1">
      <alignment horizontal="left" vertical="center"/>
    </xf>
    <xf numFmtId="0" fontId="35" fillId="0" borderId="0" xfId="8" applyFont="1" applyFill="1" applyBorder="1" applyAlignment="1">
      <alignment horizontal="left" vertical="center"/>
    </xf>
    <xf numFmtId="7" fontId="0" fillId="0" borderId="1" xfId="20" applyNumberFormat="1" applyFont="1" applyBorder="1" applyAlignment="1">
      <alignment horizontal="center" vertical="center"/>
    </xf>
    <xf numFmtId="0" fontId="7" fillId="0" borderId="41" xfId="8" applyFont="1" applyFill="1" applyBorder="1" applyAlignment="1">
      <alignment vertical="center" textRotation="255"/>
    </xf>
    <xf numFmtId="0" fontId="7" fillId="0" borderId="22" xfId="8" applyFont="1" applyFill="1" applyBorder="1" applyAlignment="1">
      <alignment vertical="center" textRotation="255"/>
    </xf>
    <xf numFmtId="0" fontId="7" fillId="0" borderId="42" xfId="8" applyFont="1" applyFill="1" applyBorder="1" applyAlignment="1">
      <alignment vertical="center" textRotation="255"/>
    </xf>
    <xf numFmtId="0" fontId="5" fillId="0" borderId="22" xfId="8" applyFont="1" applyFill="1" applyBorder="1" applyAlignment="1">
      <alignment vertical="center" textRotation="255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44" fontId="35" fillId="7" borderId="1" xfId="20" applyFont="1" applyFill="1" applyBorder="1" applyAlignment="1">
      <alignment horizontal="center" vertical="center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4" fontId="38" fillId="0" borderId="1" xfId="20" applyNumberFormat="1" applyFont="1" applyFill="1" applyBorder="1" applyAlignment="1">
      <alignment horizontal="center" vertical="center"/>
    </xf>
    <xf numFmtId="39" fontId="34" fillId="4" borderId="9" xfId="7" applyNumberFormat="1" applyFont="1" applyFill="1" applyBorder="1" applyAlignment="1">
      <alignment horizontal="center" vertical="center"/>
    </xf>
    <xf numFmtId="39" fontId="34" fillId="4" borderId="1" xfId="7" applyNumberFormat="1" applyFont="1" applyFill="1" applyBorder="1" applyAlignment="1">
      <alignment horizontal="center" vertical="center"/>
    </xf>
    <xf numFmtId="0" fontId="10" fillId="4" borderId="8" xfId="8" applyFont="1" applyFill="1" applyBorder="1" applyAlignment="1">
      <alignment horizontal="center" vertical="center"/>
    </xf>
    <xf numFmtId="44" fontId="35" fillId="21" borderId="39" xfId="20" applyFont="1" applyFill="1" applyBorder="1" applyAlignment="1">
      <alignment horizontal="center" vertical="center"/>
    </xf>
    <xf numFmtId="10" fontId="35" fillId="21" borderId="9" xfId="1" applyNumberFormat="1" applyFont="1" applyFill="1" applyBorder="1" applyAlignment="1" applyProtection="1">
      <alignment horizontal="center" vertical="center"/>
    </xf>
    <xf numFmtId="44" fontId="34" fillId="21" borderId="1" xfId="20" applyFont="1" applyFill="1" applyBorder="1" applyAlignment="1" applyProtection="1">
      <alignment horizontal="center" vertical="center"/>
      <protection hidden="1"/>
    </xf>
    <xf numFmtId="10" fontId="34" fillId="21" borderId="1" xfId="12" applyNumberFormat="1" applyFont="1" applyFill="1" applyBorder="1" applyAlignment="1" applyProtection="1">
      <alignment horizontal="center" vertical="center"/>
      <protection hidden="1"/>
    </xf>
    <xf numFmtId="44" fontId="34" fillId="21" borderId="20" xfId="20" applyFont="1" applyFill="1" applyBorder="1" applyAlignment="1" applyProtection="1">
      <alignment horizontal="center" vertical="center"/>
      <protection hidden="1"/>
    </xf>
    <xf numFmtId="44" fontId="35" fillId="22" borderId="39" xfId="20" applyFont="1" applyFill="1" applyBorder="1" applyAlignment="1">
      <alignment horizontal="center" vertical="center"/>
    </xf>
    <xf numFmtId="44" fontId="35" fillId="22" borderId="40" xfId="20" applyFont="1" applyFill="1" applyBorder="1" applyAlignment="1">
      <alignment horizontal="center" vertical="center"/>
    </xf>
    <xf numFmtId="44" fontId="34" fillId="22" borderId="9" xfId="20" applyFont="1" applyFill="1" applyBorder="1" applyAlignment="1" applyProtection="1">
      <alignment horizontal="center" vertical="center"/>
      <protection hidden="1"/>
    </xf>
    <xf numFmtId="44" fontId="34" fillId="22" borderId="1" xfId="20" applyFont="1" applyFill="1" applyBorder="1" applyAlignment="1" applyProtection="1">
      <alignment horizontal="center" vertical="center"/>
      <protection hidden="1"/>
    </xf>
    <xf numFmtId="10" fontId="35" fillId="22" borderId="1" xfId="1" applyNumberFormat="1" applyFont="1" applyFill="1" applyBorder="1" applyAlignment="1" applyProtection="1">
      <alignment horizontal="center" vertical="center"/>
    </xf>
    <xf numFmtId="0" fontId="35" fillId="23" borderId="2" xfId="8" applyFont="1" applyFill="1" applyBorder="1" applyAlignment="1">
      <alignment horizontal="center" vertical="center"/>
    </xf>
    <xf numFmtId="3" fontId="35" fillId="23" borderId="37" xfId="8" applyNumberFormat="1" applyFont="1" applyFill="1" applyBorder="1" applyAlignment="1" applyProtection="1">
      <alignment horizontal="center" vertical="center"/>
      <protection hidden="1"/>
    </xf>
    <xf numFmtId="0" fontId="8" fillId="23" borderId="10" xfId="8" applyFont="1" applyFill="1" applyBorder="1" applyAlignment="1">
      <alignment horizontal="center" vertical="center"/>
    </xf>
    <xf numFmtId="39" fontId="34" fillId="23" borderId="32" xfId="7" applyNumberFormat="1" applyFont="1" applyFill="1" applyBorder="1" applyAlignment="1" applyProtection="1">
      <alignment horizontal="center" vertical="center"/>
    </xf>
    <xf numFmtId="0" fontId="8" fillId="23" borderId="10" xfId="8" applyFont="1" applyFill="1" applyBorder="1" applyAlignment="1">
      <alignment horizontal="right" vertical="center"/>
    </xf>
    <xf numFmtId="0" fontId="8" fillId="23" borderId="2" xfId="8" applyFont="1" applyFill="1" applyBorder="1" applyAlignment="1">
      <alignment horizontal="right" vertical="center"/>
    </xf>
    <xf numFmtId="10" fontId="35" fillId="23" borderId="1" xfId="12" applyNumberFormat="1" applyFont="1" applyFill="1" applyBorder="1" applyAlignment="1" applyProtection="1">
      <alignment horizontal="center" vertical="center" wrapText="1"/>
      <protection hidden="1"/>
    </xf>
    <xf numFmtId="49" fontId="49" fillId="23" borderId="2" xfId="8" applyNumberFormat="1" applyFont="1" applyFill="1" applyBorder="1" applyAlignment="1">
      <alignment horizontal="right" vertical="center"/>
    </xf>
    <xf numFmtId="0" fontId="8" fillId="23" borderId="2" xfId="8" applyFont="1" applyFill="1" applyBorder="1" applyAlignment="1">
      <alignment horizontal="right" vertical="center" wrapText="1"/>
    </xf>
    <xf numFmtId="49" fontId="49" fillId="23" borderId="1" xfId="8" applyNumberFormat="1" applyFont="1" applyFill="1" applyBorder="1" applyAlignment="1">
      <alignment horizontal="right" vertical="center" wrapText="1"/>
    </xf>
    <xf numFmtId="9" fontId="34" fillId="23" borderId="32" xfId="12" applyFont="1" applyFill="1" applyBorder="1" applyAlignment="1" applyProtection="1">
      <alignment horizontal="center" vertical="center"/>
    </xf>
    <xf numFmtId="44" fontId="34" fillId="23" borderId="32" xfId="20" applyFont="1" applyFill="1" applyBorder="1" applyAlignment="1" applyProtection="1">
      <alignment horizontal="center" vertical="center"/>
    </xf>
    <xf numFmtId="168" fontId="35" fillId="23" borderId="1" xfId="8" applyNumberFormat="1" applyFont="1" applyFill="1" applyBorder="1" applyAlignment="1">
      <alignment horizontal="center" vertical="center"/>
    </xf>
    <xf numFmtId="0" fontId="35" fillId="15" borderId="43" xfId="8" applyFont="1" applyFill="1" applyBorder="1" applyAlignment="1" applyProtection="1">
      <alignment horizontal="right" vertical="center"/>
    </xf>
    <xf numFmtId="9" fontId="34" fillId="4" borderId="44" xfId="12" applyFont="1" applyFill="1" applyBorder="1" applyAlignment="1" applyProtection="1">
      <alignment horizontal="center" vertical="center"/>
    </xf>
    <xf numFmtId="9" fontId="34" fillId="4" borderId="45" xfId="12" applyFont="1" applyFill="1" applyBorder="1" applyAlignment="1" applyProtection="1">
      <alignment horizontal="center" vertical="center"/>
    </xf>
    <xf numFmtId="0" fontId="35" fillId="21" borderId="46" xfId="8" applyFont="1" applyFill="1" applyBorder="1" applyAlignment="1" applyProtection="1">
      <alignment horizontal="right" vertical="center"/>
    </xf>
    <xf numFmtId="44" fontId="34" fillId="21" borderId="47" xfId="20" applyFont="1" applyFill="1" applyBorder="1" applyAlignment="1" applyProtection="1">
      <alignment horizontal="center" vertical="center"/>
      <protection hidden="1"/>
    </xf>
    <xf numFmtId="0" fontId="35" fillId="15" borderId="48" xfId="8" applyFont="1" applyFill="1" applyBorder="1" applyAlignment="1" applyProtection="1">
      <alignment horizontal="right" vertical="center"/>
    </xf>
    <xf numFmtId="44" fontId="34" fillId="4" borderId="49" xfId="20" applyFont="1" applyFill="1" applyBorder="1" applyAlignment="1" applyProtection="1">
      <alignment horizontal="center" vertical="center"/>
      <protection hidden="1"/>
    </xf>
    <xf numFmtId="0" fontId="35" fillId="15" borderId="50" xfId="8" applyFont="1" applyFill="1" applyBorder="1" applyAlignment="1" applyProtection="1">
      <alignment horizontal="right" vertical="center"/>
    </xf>
    <xf numFmtId="10" fontId="35" fillId="21" borderId="51" xfId="1" applyNumberFormat="1" applyFont="1" applyFill="1" applyBorder="1" applyAlignment="1" applyProtection="1">
      <alignment horizontal="center" vertical="center"/>
    </xf>
    <xf numFmtId="0" fontId="35" fillId="15" borderId="52" xfId="8" applyFont="1" applyFill="1" applyBorder="1" applyAlignment="1" applyProtection="1">
      <alignment horizontal="right" vertical="center"/>
    </xf>
    <xf numFmtId="44" fontId="34" fillId="21" borderId="53" xfId="20" applyFont="1" applyFill="1" applyBorder="1" applyAlignment="1" applyProtection="1">
      <alignment horizontal="center" vertical="center"/>
      <protection hidden="1"/>
    </xf>
    <xf numFmtId="10" fontId="34" fillId="21" borderId="53" xfId="12" applyNumberFormat="1" applyFont="1" applyFill="1" applyBorder="1" applyAlignment="1" applyProtection="1">
      <alignment horizontal="center" vertical="center"/>
      <protection hidden="1"/>
    </xf>
    <xf numFmtId="0" fontId="4" fillId="0" borderId="54" xfId="8" applyFont="1" applyFill="1" applyBorder="1"/>
    <xf numFmtId="0" fontId="45" fillId="4" borderId="55" xfId="8" applyFont="1" applyFill="1" applyBorder="1"/>
    <xf numFmtId="0" fontId="35" fillId="15" borderId="56" xfId="8" applyFont="1" applyFill="1" applyBorder="1" applyAlignment="1" applyProtection="1">
      <alignment horizontal="right" vertical="center"/>
    </xf>
    <xf numFmtId="44" fontId="35" fillId="21" borderId="57" xfId="20" applyFont="1" applyFill="1" applyBorder="1" applyAlignment="1">
      <alignment horizontal="center" vertical="center"/>
    </xf>
    <xf numFmtId="44" fontId="35" fillId="4" borderId="53" xfId="20" applyFont="1" applyFill="1" applyBorder="1" applyAlignment="1">
      <alignment horizontal="center" vertical="center"/>
    </xf>
    <xf numFmtId="0" fontId="35" fillId="15" borderId="58" xfId="8" applyFont="1" applyFill="1" applyBorder="1" applyAlignment="1" applyProtection="1">
      <alignment horizontal="right" vertical="center"/>
    </xf>
    <xf numFmtId="44" fontId="35" fillId="21" borderId="59" xfId="20" applyFont="1" applyFill="1" applyBorder="1" applyAlignment="1">
      <alignment horizontal="center" vertical="center"/>
    </xf>
    <xf numFmtId="44" fontId="35" fillId="21" borderId="60" xfId="20" applyFont="1" applyFill="1" applyBorder="1" applyAlignment="1">
      <alignment horizontal="center" vertical="center"/>
    </xf>
    <xf numFmtId="0" fontId="35" fillId="22" borderId="43" xfId="8" applyFont="1" applyFill="1" applyBorder="1" applyAlignment="1" applyProtection="1">
      <alignment horizontal="right" vertical="center"/>
    </xf>
    <xf numFmtId="44" fontId="34" fillId="4" borderId="44" xfId="20" applyFont="1" applyFill="1" applyBorder="1" applyAlignment="1" applyProtection="1">
      <alignment horizontal="center" vertical="center"/>
      <protection hidden="1"/>
    </xf>
    <xf numFmtId="44" fontId="34" fillId="4" borderId="45" xfId="20" applyFont="1" applyFill="1" applyBorder="1" applyAlignment="1" applyProtection="1">
      <alignment horizontal="center" vertical="center"/>
      <protection hidden="1"/>
    </xf>
    <xf numFmtId="44" fontId="34" fillId="22" borderId="51" xfId="20" applyFont="1" applyFill="1" applyBorder="1" applyAlignment="1" applyProtection="1">
      <alignment horizontal="center" vertical="center"/>
      <protection hidden="1"/>
    </xf>
    <xf numFmtId="44" fontId="34" fillId="22" borderId="53" xfId="20" applyFont="1" applyFill="1" applyBorder="1" applyAlignment="1" applyProtection="1">
      <alignment horizontal="center" vertical="center"/>
      <protection hidden="1"/>
    </xf>
    <xf numFmtId="10" fontId="35" fillId="22" borderId="53" xfId="1" applyNumberFormat="1" applyFont="1" applyFill="1" applyBorder="1" applyAlignment="1" applyProtection="1">
      <alignment horizontal="center" vertical="center"/>
    </xf>
    <xf numFmtId="0" fontId="45" fillId="0" borderId="55" xfId="8" applyFont="1" applyFill="1" applyBorder="1"/>
    <xf numFmtId="44" fontId="35" fillId="22" borderId="57" xfId="20" applyFont="1" applyFill="1" applyBorder="1" applyAlignment="1">
      <alignment horizontal="center" vertical="center"/>
    </xf>
    <xf numFmtId="0" fontId="35" fillId="15" borderId="61" xfId="8" applyFont="1" applyFill="1" applyBorder="1" applyAlignment="1" applyProtection="1">
      <alignment horizontal="right" vertical="center"/>
    </xf>
    <xf numFmtId="44" fontId="35" fillId="22" borderId="62" xfId="20" applyFont="1" applyFill="1" applyBorder="1" applyAlignment="1">
      <alignment horizontal="center" vertical="center"/>
    </xf>
    <xf numFmtId="44" fontId="35" fillId="22" borderId="59" xfId="20" applyFont="1" applyFill="1" applyBorder="1" applyAlignment="1">
      <alignment vertical="center"/>
    </xf>
    <xf numFmtId="44" fontId="35" fillId="22" borderId="60" xfId="20" applyFont="1" applyFill="1" applyBorder="1" applyAlignment="1">
      <alignment vertical="center"/>
    </xf>
    <xf numFmtId="164" fontId="38" fillId="0" borderId="1" xfId="20" applyNumberFormat="1" applyFont="1" applyFill="1" applyBorder="1" applyAlignment="1">
      <alignment horizontal="center" vertical="center"/>
    </xf>
    <xf numFmtId="9" fontId="34" fillId="4" borderId="33" xfId="12" applyFont="1" applyFill="1" applyBorder="1" applyAlignment="1" applyProtection="1">
      <alignment horizontal="center" vertical="center"/>
    </xf>
    <xf numFmtId="0" fontId="35" fillId="21" borderId="63" xfId="8" applyFont="1" applyFill="1" applyBorder="1" applyAlignment="1" applyProtection="1">
      <alignment horizontal="right" vertical="center"/>
    </xf>
    <xf numFmtId="44" fontId="34" fillId="21" borderId="64" xfId="20" applyFont="1" applyFill="1" applyBorder="1" applyAlignment="1" applyProtection="1">
      <alignment horizontal="center" vertical="center"/>
      <protection hidden="1"/>
    </xf>
    <xf numFmtId="44" fontId="34" fillId="4" borderId="33" xfId="20" applyFont="1" applyFill="1" applyBorder="1" applyAlignment="1" applyProtection="1">
      <alignment horizontal="center" vertical="center"/>
      <protection hidden="1"/>
    </xf>
    <xf numFmtId="0" fontId="35" fillId="15" borderId="4" xfId="8" applyFont="1" applyFill="1" applyBorder="1" applyAlignment="1" applyProtection="1">
      <alignment horizontal="right" vertical="center"/>
    </xf>
    <xf numFmtId="10" fontId="35" fillId="21" borderId="65" xfId="1" applyNumberFormat="1" applyFont="1" applyFill="1" applyBorder="1" applyAlignment="1" applyProtection="1">
      <alignment horizontal="center" vertical="center"/>
    </xf>
    <xf numFmtId="44" fontId="34" fillId="21" borderId="8" xfId="20" applyFont="1" applyFill="1" applyBorder="1" applyAlignment="1" applyProtection="1">
      <alignment horizontal="center" vertical="center"/>
      <protection hidden="1"/>
    </xf>
    <xf numFmtId="10" fontId="34" fillId="21" borderId="8" xfId="12" applyNumberFormat="1" applyFont="1" applyFill="1" applyBorder="1" applyAlignment="1" applyProtection="1">
      <alignment horizontal="center" vertical="center"/>
      <protection hidden="1"/>
    </xf>
    <xf numFmtId="0" fontId="4" fillId="0" borderId="17" xfId="8" applyFont="1" applyFill="1" applyBorder="1"/>
    <xf numFmtId="0" fontId="45" fillId="4" borderId="66" xfId="8" applyFont="1" applyFill="1" applyBorder="1"/>
    <xf numFmtId="44" fontId="35" fillId="21" borderId="30" xfId="20" applyFont="1" applyFill="1" applyBorder="1" applyAlignment="1">
      <alignment horizontal="center" vertical="center"/>
    </xf>
    <xf numFmtId="44" fontId="35" fillId="4" borderId="8" xfId="20" applyFont="1" applyFill="1" applyBorder="1" applyAlignment="1">
      <alignment horizontal="center" vertical="center"/>
    </xf>
    <xf numFmtId="0" fontId="35" fillId="15" borderId="67" xfId="8" applyFont="1" applyFill="1" applyBorder="1" applyAlignment="1" applyProtection="1">
      <alignment horizontal="right" vertical="center"/>
    </xf>
    <xf numFmtId="44" fontId="35" fillId="21" borderId="68" xfId="20" applyFont="1" applyFill="1" applyBorder="1" applyAlignment="1">
      <alignment horizontal="center" vertical="center"/>
    </xf>
    <xf numFmtId="44" fontId="35" fillId="21" borderId="40" xfId="20" applyFont="1" applyFill="1" applyBorder="1" applyAlignment="1">
      <alignment horizontal="center" vertical="center"/>
    </xf>
    <xf numFmtId="44" fontId="35" fillId="21" borderId="31" xfId="20" applyFont="1" applyFill="1" applyBorder="1" applyAlignment="1">
      <alignment horizontal="center" vertical="center"/>
    </xf>
    <xf numFmtId="0" fontId="4" fillId="0" borderId="7" xfId="8" applyFont="1" applyFill="1" applyBorder="1" applyAlignment="1">
      <alignment horizontal="center" vertical="center"/>
    </xf>
    <xf numFmtId="0" fontId="5" fillId="0" borderId="69" xfId="8" applyFont="1" applyBorder="1" applyAlignment="1">
      <alignment vertical="center"/>
    </xf>
    <xf numFmtId="0" fontId="27" fillId="0" borderId="9" xfId="0" applyFont="1" applyBorder="1" applyAlignment="1">
      <alignment horizontal="right"/>
    </xf>
    <xf numFmtId="0" fontId="27" fillId="0" borderId="1" xfId="0" applyFont="1" applyBorder="1" applyAlignment="1">
      <alignment horizontal="right"/>
    </xf>
    <xf numFmtId="0" fontId="51" fillId="0" borderId="1" xfId="3" applyFont="1" applyBorder="1" applyAlignment="1" applyProtection="1">
      <alignment horizontal="left"/>
    </xf>
    <xf numFmtId="0" fontId="0" fillId="0" borderId="9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167" fontId="35" fillId="7" borderId="1" xfId="8" applyNumberFormat="1" applyFont="1" applyFill="1" applyBorder="1" applyAlignment="1" applyProtection="1">
      <alignment horizontal="center" vertical="center" wrapText="1"/>
    </xf>
    <xf numFmtId="0" fontId="35" fillId="7" borderId="1" xfId="8" applyNumberFormat="1" applyFont="1" applyFill="1" applyBorder="1" applyAlignment="1" applyProtection="1">
      <alignment horizontal="center" vertical="center"/>
    </xf>
    <xf numFmtId="0" fontId="4" fillId="24" borderId="0" xfId="8" applyFont="1" applyFill="1" applyBorder="1"/>
    <xf numFmtId="0" fontId="5" fillId="24" borderId="0" xfId="8" applyFont="1" applyFill="1" applyBorder="1"/>
    <xf numFmtId="0" fontId="5" fillId="24" borderId="0" xfId="8" applyFont="1" applyFill="1" applyBorder="1" applyAlignment="1">
      <alignment horizontal="center"/>
    </xf>
    <xf numFmtId="0" fontId="11" fillId="24" borderId="0" xfId="8" applyFont="1" applyFill="1" applyBorder="1" applyAlignment="1">
      <alignment wrapText="1"/>
    </xf>
    <xf numFmtId="0" fontId="15" fillId="24" borderId="0" xfId="8" applyFont="1" applyFill="1" applyBorder="1"/>
    <xf numFmtId="0" fontId="35" fillId="24" borderId="0" xfId="8" applyFont="1" applyFill="1" applyBorder="1" applyAlignment="1">
      <alignment horizontal="center" vertical="center"/>
    </xf>
    <xf numFmtId="2" fontId="37" fillId="0" borderId="0" xfId="8" applyNumberFormat="1" applyFont="1" applyFill="1" applyBorder="1" applyAlignment="1">
      <alignment horizontal="center" vertical="center"/>
    </xf>
    <xf numFmtId="10" fontId="37" fillId="0" borderId="0" xfId="8" applyNumberFormat="1" applyFont="1" applyFill="1" applyBorder="1" applyAlignment="1">
      <alignment horizontal="center" vertical="center"/>
    </xf>
    <xf numFmtId="165" fontId="37" fillId="0" borderId="0" xfId="13" applyFont="1" applyFill="1" applyBorder="1" applyAlignment="1">
      <alignment horizontal="center" vertical="center"/>
    </xf>
    <xf numFmtId="0" fontId="37" fillId="0" borderId="0" xfId="8" applyFont="1" applyFill="1" applyBorder="1" applyAlignment="1">
      <alignment horizontal="center" vertical="center"/>
    </xf>
    <xf numFmtId="0" fontId="37" fillId="0" borderId="0" xfId="8" applyFont="1" applyFill="1" applyBorder="1" applyAlignment="1">
      <alignment horizontal="center" vertical="center" wrapText="1"/>
    </xf>
    <xf numFmtId="49" fontId="37" fillId="0" borderId="0" xfId="8" applyNumberFormat="1" applyFont="1" applyFill="1" applyBorder="1" applyAlignment="1">
      <alignment horizontal="center" vertical="center"/>
    </xf>
    <xf numFmtId="4" fontId="37" fillId="0" borderId="0" xfId="8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0" fillId="0" borderId="0" xfId="0" applyFill="1" applyBorder="1"/>
    <xf numFmtId="168" fontId="4" fillId="0" borderId="0" xfId="8" applyNumberFormat="1" applyFont="1" applyFill="1" applyBorder="1" applyAlignment="1">
      <alignment horizontal="center" vertical="center"/>
    </xf>
    <xf numFmtId="4" fontId="4" fillId="0" borderId="0" xfId="8" applyNumberFormat="1" applyFont="1" applyFill="1" applyBorder="1" applyAlignment="1">
      <alignment horizontal="center" vertical="center"/>
    </xf>
    <xf numFmtId="0" fontId="19" fillId="18" borderId="0" xfId="8" applyFont="1" applyFill="1" applyBorder="1" applyAlignment="1">
      <alignment horizontal="left"/>
    </xf>
    <xf numFmtId="0" fontId="20" fillId="0" borderId="0" xfId="8" applyFont="1" applyBorder="1" applyAlignment="1">
      <alignment horizontal="center" vertical="center" wrapText="1"/>
    </xf>
    <xf numFmtId="0" fontId="20" fillId="18" borderId="0" xfId="8" applyFont="1" applyFill="1" applyBorder="1" applyAlignment="1">
      <alignment horizontal="center" vertical="center" wrapText="1"/>
    </xf>
    <xf numFmtId="0" fontId="20" fillId="0" borderId="0" xfId="8" applyFont="1" applyFill="1" applyBorder="1" applyAlignment="1">
      <alignment horizontal="center" vertical="center" wrapText="1"/>
    </xf>
    <xf numFmtId="49" fontId="5" fillId="0" borderId="0" xfId="8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65" fontId="0" fillId="0" borderId="0" xfId="13" applyFont="1" applyAlignment="1">
      <alignment horizontal="left"/>
    </xf>
    <xf numFmtId="171" fontId="0" fillId="0" borderId="0" xfId="12" applyNumberFormat="1" applyFont="1" applyAlignment="1">
      <alignment horizontal="center" vertical="center"/>
    </xf>
    <xf numFmtId="0" fontId="4" fillId="24" borderId="0" xfId="8" applyFont="1" applyFill="1" applyBorder="1" applyAlignment="1">
      <alignment horizontal="center" vertical="center"/>
    </xf>
    <xf numFmtId="4" fontId="4" fillId="0" borderId="1" xfId="8" applyNumberFormat="1" applyFont="1" applyBorder="1" applyAlignment="1">
      <alignment horizontal="center" vertical="center"/>
    </xf>
    <xf numFmtId="0" fontId="52" fillId="0" borderId="1" xfId="8" applyFont="1" applyFill="1" applyBorder="1" applyAlignment="1">
      <alignment horizontal="left" vertical="center"/>
    </xf>
    <xf numFmtId="10" fontId="52" fillId="0" borderId="1" xfId="8" applyNumberFormat="1" applyFont="1" applyFill="1" applyBorder="1" applyAlignment="1">
      <alignment horizontal="center" vertical="center"/>
    </xf>
    <xf numFmtId="165" fontId="52" fillId="0" borderId="1" xfId="13" applyFont="1" applyFill="1" applyBorder="1" applyAlignment="1">
      <alignment horizontal="center" vertical="center"/>
    </xf>
    <xf numFmtId="49" fontId="52" fillId="0" borderId="1" xfId="8" applyNumberFormat="1" applyFont="1" applyFill="1" applyBorder="1" applyAlignment="1">
      <alignment horizontal="center" vertical="center"/>
    </xf>
    <xf numFmtId="2" fontId="52" fillId="0" borderId="1" xfId="8" applyNumberFormat="1" applyFont="1" applyFill="1" applyBorder="1" applyAlignment="1">
      <alignment horizontal="center" vertical="center"/>
    </xf>
    <xf numFmtId="4" fontId="52" fillId="0" borderId="1" xfId="8" applyNumberFormat="1" applyFont="1" applyFill="1" applyBorder="1" applyAlignment="1">
      <alignment horizontal="center" vertical="center"/>
    </xf>
    <xf numFmtId="0" fontId="52" fillId="0" borderId="1" xfId="8" applyFont="1" applyFill="1" applyBorder="1" applyAlignment="1">
      <alignment horizontal="center" vertical="center"/>
    </xf>
    <xf numFmtId="0" fontId="52" fillId="0" borderId="1" xfId="8" applyFont="1" applyFill="1" applyBorder="1" applyAlignment="1">
      <alignment horizontal="left" vertical="center" wrapText="1"/>
    </xf>
    <xf numFmtId="164" fontId="38" fillId="0" borderId="1" xfId="2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10" borderId="0" xfId="8" applyFont="1" applyFill="1" applyBorder="1"/>
    <xf numFmtId="0" fontId="5" fillId="10" borderId="0" xfId="8" applyFont="1" applyFill="1" applyBorder="1"/>
    <xf numFmtId="0" fontId="5" fillId="10" borderId="0" xfId="8" applyFont="1" applyFill="1" applyBorder="1" applyAlignment="1">
      <alignment horizontal="center"/>
    </xf>
    <xf numFmtId="0" fontId="11" fillId="10" borderId="0" xfId="8" applyFont="1" applyFill="1" applyBorder="1" applyAlignment="1">
      <alignment wrapText="1"/>
    </xf>
    <xf numFmtId="0" fontId="15" fillId="10" borderId="0" xfId="8" applyFont="1" applyFill="1" applyBorder="1"/>
    <xf numFmtId="0" fontId="35" fillId="10" borderId="0" xfId="8" applyFont="1" applyFill="1" applyBorder="1" applyAlignment="1">
      <alignment horizontal="center" vertical="center"/>
    </xf>
    <xf numFmtId="0" fontId="4" fillId="0" borderId="0" xfId="8" applyFont="1" applyBorder="1" applyAlignment="1">
      <alignment horizont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10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16" fillId="9" borderId="12" xfId="8" applyFont="1" applyFill="1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7" fillId="9" borderId="12" xfId="8" applyFont="1" applyFill="1" applyBorder="1" applyAlignment="1">
      <alignment horizontal="center" vertical="center"/>
    </xf>
    <xf numFmtId="49" fontId="48" fillId="3" borderId="5" xfId="8" applyNumberFormat="1" applyFont="1" applyFill="1" applyBorder="1" applyAlignment="1">
      <alignment horizontal="center"/>
    </xf>
    <xf numFmtId="49" fontId="48" fillId="3" borderId="6" xfId="8" applyNumberFormat="1" applyFont="1" applyFill="1" applyBorder="1" applyAlignment="1">
      <alignment horizontal="center"/>
    </xf>
    <xf numFmtId="49" fontId="48" fillId="3" borderId="7" xfId="8" applyNumberFormat="1" applyFont="1" applyFill="1" applyBorder="1" applyAlignment="1">
      <alignment horizontal="center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17" fillId="9" borderId="12" xfId="8" applyFont="1" applyFill="1" applyBorder="1" applyAlignment="1">
      <alignment horizontal="center"/>
    </xf>
    <xf numFmtId="0" fontId="5" fillId="5" borderId="22" xfId="8" applyFont="1" applyFill="1" applyBorder="1" applyAlignment="1">
      <alignment horizontal="center" vertical="center" textRotation="255"/>
    </xf>
    <xf numFmtId="0" fontId="35" fillId="4" borderId="1" xfId="8" applyFont="1" applyFill="1" applyBorder="1" applyAlignment="1">
      <alignment horizontal="left" vertical="center"/>
    </xf>
    <xf numFmtId="0" fontId="35" fillId="4" borderId="8" xfId="8" applyFont="1" applyFill="1" applyBorder="1" applyAlignment="1">
      <alignment horizontal="left" vertical="center"/>
    </xf>
    <xf numFmtId="0" fontId="35" fillId="4" borderId="5" xfId="8" applyFont="1" applyFill="1" applyBorder="1" applyAlignment="1">
      <alignment horizontal="left"/>
    </xf>
    <xf numFmtId="0" fontId="35" fillId="4" borderId="6" xfId="8" applyFont="1" applyFill="1" applyBorder="1" applyAlignment="1">
      <alignment horizontal="left"/>
    </xf>
    <xf numFmtId="0" fontId="35" fillId="4" borderId="11" xfId="8" applyFont="1" applyFill="1" applyBorder="1" applyAlignment="1">
      <alignment horizontal="left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166" fontId="35" fillId="4" borderId="5" xfId="8" applyNumberFormat="1" applyFont="1" applyFill="1" applyBorder="1" applyAlignment="1">
      <alignment horizontal="center" vertical="center"/>
    </xf>
    <xf numFmtId="166" fontId="35" fillId="4" borderId="7" xfId="8" applyNumberFormat="1" applyFont="1" applyFill="1" applyBorder="1" applyAlignment="1">
      <alignment horizontal="center" vertical="center"/>
    </xf>
    <xf numFmtId="49" fontId="35" fillId="4" borderId="10" xfId="8" applyNumberFormat="1" applyFont="1" applyFill="1" applyBorder="1" applyAlignment="1">
      <alignment horizontal="left"/>
    </xf>
    <xf numFmtId="49" fontId="35" fillId="4" borderId="6" xfId="8" applyNumberFormat="1" applyFont="1" applyFill="1" applyBorder="1" applyAlignment="1">
      <alignment horizontal="left"/>
    </xf>
    <xf numFmtId="49" fontId="35" fillId="4" borderId="11" xfId="8" applyNumberFormat="1" applyFont="1" applyFill="1" applyBorder="1" applyAlignment="1">
      <alignment horizontal="left"/>
    </xf>
    <xf numFmtId="0" fontId="35" fillId="4" borderId="10" xfId="8" applyFont="1" applyFill="1" applyBorder="1" applyAlignment="1">
      <alignment horizontal="left" wrapText="1"/>
    </xf>
    <xf numFmtId="0" fontId="35" fillId="4" borderId="6" xfId="8" applyFont="1" applyFill="1" applyBorder="1" applyAlignment="1">
      <alignment horizontal="left" wrapText="1"/>
    </xf>
    <xf numFmtId="0" fontId="35" fillId="4" borderId="11" xfId="8" applyFont="1" applyFill="1" applyBorder="1" applyAlignment="1">
      <alignment horizontal="left" wrapText="1"/>
    </xf>
    <xf numFmtId="0" fontId="35" fillId="4" borderId="24" xfId="8" applyFont="1" applyFill="1" applyBorder="1" applyAlignment="1">
      <alignment horizontal="left" wrapText="1"/>
    </xf>
    <xf numFmtId="0" fontId="35" fillId="4" borderId="38" xfId="8" applyFont="1" applyFill="1" applyBorder="1" applyAlignment="1">
      <alignment horizontal="left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35" fillId="4" borderId="5" xfId="8" applyFont="1" applyFill="1" applyBorder="1" applyAlignment="1">
      <alignment horizontal="center" vertical="center"/>
    </xf>
    <xf numFmtId="0" fontId="35" fillId="4" borderId="6" xfId="8" applyFont="1" applyFill="1" applyBorder="1" applyAlignment="1">
      <alignment horizontal="center" vertical="center"/>
    </xf>
    <xf numFmtId="0" fontId="35" fillId="4" borderId="7" xfId="8" applyFont="1" applyFill="1" applyBorder="1" applyAlignment="1">
      <alignment horizontal="center" vertical="center"/>
    </xf>
    <xf numFmtId="44" fontId="43" fillId="4" borderId="8" xfId="4" applyFont="1" applyFill="1" applyBorder="1" applyAlignment="1">
      <alignment horizontal="center" vertical="center"/>
    </xf>
    <xf numFmtId="0" fontId="35" fillId="4" borderId="5" xfId="8" applyFont="1" applyFill="1" applyBorder="1" applyAlignment="1">
      <alignment horizontal="left" vertical="center"/>
    </xf>
    <xf numFmtId="0" fontId="35" fillId="4" borderId="6" xfId="8" applyFont="1" applyFill="1" applyBorder="1" applyAlignment="1">
      <alignment horizontal="left" vertical="center"/>
    </xf>
    <xf numFmtId="0" fontId="35" fillId="4" borderId="7" xfId="8" applyFont="1" applyFill="1" applyBorder="1" applyAlignment="1">
      <alignment horizontal="left" vertical="center"/>
    </xf>
    <xf numFmtId="0" fontId="35" fillId="4" borderId="23" xfId="8" applyFont="1" applyFill="1" applyBorder="1" applyAlignment="1" applyProtection="1">
      <alignment horizontal="left" vertical="center" wrapText="1"/>
      <protection locked="0"/>
    </xf>
    <xf numFmtId="0" fontId="35" fillId="4" borderId="24" xfId="8" applyFont="1" applyFill="1" applyBorder="1" applyAlignment="1" applyProtection="1">
      <alignment horizontal="left" vertical="center"/>
      <protection locked="0"/>
    </xf>
    <xf numFmtId="0" fontId="35" fillId="4" borderId="25" xfId="8" applyFont="1" applyFill="1" applyBorder="1" applyAlignment="1" applyProtection="1">
      <alignment horizontal="left" vertical="center"/>
      <protection locked="0"/>
    </xf>
    <xf numFmtId="0" fontId="35" fillId="4" borderId="21" xfId="8" applyFont="1" applyFill="1" applyBorder="1" applyAlignment="1" applyProtection="1">
      <alignment horizontal="left" vertical="center"/>
      <protection locked="0"/>
    </xf>
    <xf numFmtId="0" fontId="35" fillId="4" borderId="12" xfId="8" applyFont="1" applyFill="1" applyBorder="1" applyAlignment="1" applyProtection="1">
      <alignment horizontal="left" vertical="center"/>
      <protection locked="0"/>
    </xf>
    <xf numFmtId="0" fontId="35" fillId="4" borderId="26" xfId="8" applyFont="1" applyFill="1" applyBorder="1" applyAlignment="1" applyProtection="1">
      <alignment horizontal="left" vertical="center"/>
      <protection locked="0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8" fillId="23" borderId="19" xfId="8" applyFont="1" applyFill="1" applyBorder="1" applyAlignment="1">
      <alignment horizontal="center" vertical="center" wrapText="1"/>
    </xf>
    <xf numFmtId="0" fontId="8" fillId="23" borderId="20" xfId="8" applyFont="1" applyFill="1" applyBorder="1" applyAlignment="1">
      <alignment horizontal="center" vertical="center" wrapText="1"/>
    </xf>
    <xf numFmtId="0" fontId="8" fillId="23" borderId="9" xfId="8" applyFont="1" applyFill="1" applyBorder="1" applyAlignment="1">
      <alignment horizontal="center" vertical="center" wrapText="1"/>
    </xf>
    <xf numFmtId="0" fontId="8" fillId="23" borderId="35" xfId="8" applyFont="1" applyFill="1" applyBorder="1" applyAlignment="1">
      <alignment horizontal="right" vertical="center"/>
    </xf>
    <xf numFmtId="0" fontId="8" fillId="23" borderId="4" xfId="8" applyFont="1" applyFill="1" applyBorder="1" applyAlignment="1">
      <alignment horizontal="right" vertical="center"/>
    </xf>
    <xf numFmtId="0" fontId="10" fillId="4" borderId="5" xfId="8" applyFont="1" applyFill="1" applyBorder="1" applyAlignment="1">
      <alignment horizontal="center" vertical="center"/>
    </xf>
    <xf numFmtId="0" fontId="10" fillId="4" borderId="6" xfId="8" applyFont="1" applyFill="1" applyBorder="1" applyAlignment="1">
      <alignment horizontal="center" vertical="center"/>
    </xf>
    <xf numFmtId="0" fontId="10" fillId="4" borderId="11" xfId="8" applyFont="1" applyFill="1" applyBorder="1" applyAlignment="1">
      <alignment horizontal="center" vertical="center"/>
    </xf>
    <xf numFmtId="14" fontId="35" fillId="4" borderId="5" xfId="8" applyNumberFormat="1" applyFont="1" applyFill="1" applyBorder="1" applyAlignment="1">
      <alignment horizontal="center" vertical="center"/>
    </xf>
    <xf numFmtId="14" fontId="35" fillId="4" borderId="7" xfId="8" applyNumberFormat="1" applyFont="1" applyFill="1" applyBorder="1" applyAlignment="1">
      <alignment horizontal="center" vertical="center"/>
    </xf>
    <xf numFmtId="0" fontId="50" fillId="0" borderId="41" xfId="8" applyFont="1" applyBorder="1" applyAlignment="1">
      <alignment horizontal="center" vertical="center"/>
    </xf>
    <xf numFmtId="0" fontId="50" fillId="0" borderId="42" xfId="8" applyFont="1" applyBorder="1" applyAlignment="1">
      <alignment horizontal="center" vertic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/>
    </xf>
    <xf numFmtId="0" fontId="27" fillId="0" borderId="33" xfId="0" applyFont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46767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46767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46767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50196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ailtonzsilva@g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M1048509"/>
  <sheetViews>
    <sheetView showGridLines="0" topLeftCell="A66" zoomScale="55" zoomScaleNormal="55" zoomScaleSheetLayoutView="25" workbookViewId="0">
      <selection activeCell="C86" sqref="C86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5.140625" style="207" bestFit="1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25.85546875" bestFit="1" customWidth="1"/>
    <col min="30" max="30" width="19" customWidth="1"/>
    <col min="31" max="31" width="23.5703125" customWidth="1"/>
    <col min="32" max="32" width="23.7109375" customWidth="1"/>
    <col min="33" max="33" width="29" customWidth="1"/>
    <col min="34" max="34" width="10" customWidth="1"/>
    <col min="35" max="36" width="4.7109375" customWidth="1"/>
    <col min="37" max="37" width="31" bestFit="1" customWidth="1"/>
    <col min="38" max="38" width="18.5703125" bestFit="1" customWidth="1"/>
    <col min="39" max="39" width="41.140625" bestFit="1" customWidth="1"/>
    <col min="40" max="40" width="16" bestFit="1" customWidth="1"/>
    <col min="41" max="41" width="20.140625" bestFit="1" customWidth="1"/>
    <col min="42" max="44" width="9.140625" style="3" customWidth="1"/>
    <col min="45" max="48" width="29.140625" customWidth="1"/>
    <col min="49" max="49" width="28" style="3" bestFit="1" customWidth="1"/>
    <col min="50" max="51" width="9.140625" style="3" customWidth="1"/>
    <col min="52" max="52" width="4.28515625" style="181" bestFit="1" customWidth="1"/>
    <col min="53" max="53" width="39.42578125" style="3" bestFit="1" customWidth="1"/>
    <col min="54" max="54" width="6.140625" style="3" bestFit="1" customWidth="1"/>
    <col min="55" max="55" width="7.7109375" style="3" bestFit="1" customWidth="1"/>
    <col min="56" max="56" width="20.85546875" style="3" bestFit="1" customWidth="1"/>
    <col min="57" max="58" width="12.28515625" style="3" bestFit="1" customWidth="1"/>
    <col min="59" max="59" width="10" style="3" bestFit="1" customWidth="1"/>
    <col min="60" max="60" width="9.42578125" style="3" bestFit="1" customWidth="1"/>
    <col min="61" max="225" width="9.140625" style="3" customWidth="1"/>
    <col min="226" max="226" width="28.7109375" style="3" customWidth="1"/>
    <col min="227" max="227" width="39.140625" style="3" customWidth="1"/>
    <col min="228" max="230" width="19.7109375" style="3" customWidth="1"/>
    <col min="231" max="231" width="21.5703125" style="3" customWidth="1"/>
    <col min="232" max="234" width="19.7109375" style="3" customWidth="1"/>
    <col min="235" max="235" width="37.85546875" style="3" customWidth="1"/>
    <col min="236" max="236" width="26.85546875" style="3" customWidth="1"/>
    <col min="237" max="237" width="36.7109375" style="3" customWidth="1"/>
    <col min="238" max="238" width="3" style="3" customWidth="1"/>
    <col min="239" max="239" width="30" style="3" customWidth="1"/>
    <col min="240" max="240" width="25.5703125" style="3" customWidth="1"/>
    <col min="241" max="241" width="19.140625" style="3" customWidth="1"/>
    <col min="242" max="242" width="7.28515625" style="3" customWidth="1"/>
    <col min="243" max="243" width="10.85546875" style="3" customWidth="1"/>
    <col min="244" max="244" width="13.5703125" style="3" customWidth="1"/>
    <col min="245" max="245" width="22.85546875" style="3" customWidth="1"/>
    <col min="246" max="246" width="34.7109375" style="3" customWidth="1"/>
    <col min="247" max="247" width="19.7109375" style="3" customWidth="1"/>
    <col min="248" max="16384" width="9.140625" style="3"/>
  </cols>
  <sheetData>
    <row r="1" spans="1:56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207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97" t="s">
        <v>1237</v>
      </c>
      <c r="AD1" s="397"/>
      <c r="AE1" s="397"/>
      <c r="AF1" s="397"/>
      <c r="AG1" s="397"/>
      <c r="AH1" s="397"/>
      <c r="AI1"/>
      <c r="AJ1"/>
      <c r="AK1" s="397" t="s">
        <v>1239</v>
      </c>
      <c r="AL1" s="397"/>
      <c r="AM1" s="397"/>
      <c r="AN1" s="397"/>
      <c r="AO1" s="397"/>
      <c r="AS1" s="397" t="s">
        <v>1234</v>
      </c>
      <c r="AT1" s="397"/>
      <c r="AU1" s="397"/>
      <c r="AV1" s="397"/>
      <c r="AW1" s="397"/>
      <c r="AZ1" s="397" t="s">
        <v>626</v>
      </c>
      <c r="BA1" s="397"/>
      <c r="BB1" s="397"/>
      <c r="BC1" s="397"/>
      <c r="BD1" s="397"/>
    </row>
    <row r="2" spans="1:56" s="2" customFormat="1" ht="21.75" thickBot="1">
      <c r="A2" s="29"/>
      <c r="B2" s="420" t="s">
        <v>578</v>
      </c>
      <c r="C2" s="421"/>
      <c r="D2" s="421"/>
      <c r="E2" s="421"/>
      <c r="F2" s="421"/>
      <c r="G2" s="421"/>
      <c r="H2" s="421"/>
      <c r="I2" s="421"/>
      <c r="J2" s="422"/>
      <c r="K2" s="46"/>
      <c r="L2" s="15" t="s">
        <v>598</v>
      </c>
      <c r="M2" s="15" t="s">
        <v>627</v>
      </c>
      <c r="N2" s="15" t="s">
        <v>628</v>
      </c>
      <c r="O2" s="208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1283</v>
      </c>
      <c r="AD2" s="15" t="s">
        <v>1282</v>
      </c>
      <c r="AE2" s="15" t="s">
        <v>1238</v>
      </c>
      <c r="AF2" s="15" t="s">
        <v>1260</v>
      </c>
      <c r="AG2" s="15" t="s">
        <v>1262</v>
      </c>
      <c r="AH2" s="15" t="s">
        <v>1235</v>
      </c>
      <c r="AI2"/>
      <c r="AJ2"/>
      <c r="AK2" s="417" t="s">
        <v>1240</v>
      </c>
      <c r="AL2" s="418"/>
      <c r="AM2" s="418"/>
      <c r="AN2" s="418"/>
      <c r="AO2" s="419"/>
      <c r="AS2" s="15" t="s">
        <v>1232</v>
      </c>
      <c r="AT2" s="15" t="s">
        <v>1231</v>
      </c>
      <c r="AU2" s="15" t="s">
        <v>590</v>
      </c>
      <c r="AV2" s="15" t="s">
        <v>1233</v>
      </c>
      <c r="AW2" s="15" t="s">
        <v>590</v>
      </c>
      <c r="AZ2" s="178" t="s">
        <v>1275</v>
      </c>
      <c r="BA2" s="15" t="s">
        <v>598</v>
      </c>
      <c r="BB2" s="15" t="s">
        <v>627</v>
      </c>
      <c r="BC2" s="15" t="s">
        <v>628</v>
      </c>
      <c r="BD2" s="15" t="s">
        <v>590</v>
      </c>
    </row>
    <row r="3" spans="1:56" s="5" customFormat="1" ht="56.25" customHeight="1">
      <c r="A3" s="213"/>
      <c r="B3" s="40" t="s">
        <v>592</v>
      </c>
      <c r="C3" s="368"/>
      <c r="D3" s="369"/>
      <c r="E3" s="370"/>
      <c r="F3" s="135" t="s">
        <v>1274</v>
      </c>
      <c r="G3" s="371" t="s">
        <v>1353</v>
      </c>
      <c r="H3" s="372"/>
      <c r="I3" s="4" t="s">
        <v>577</v>
      </c>
      <c r="J3" s="102"/>
      <c r="K3" s="45"/>
      <c r="L3" s="349" t="s">
        <v>1200</v>
      </c>
      <c r="M3" s="350" t="s">
        <v>1198</v>
      </c>
      <c r="N3" s="350" t="s">
        <v>1199</v>
      </c>
      <c r="O3" s="207"/>
      <c r="P3" s="32" t="s">
        <v>1291</v>
      </c>
      <c r="Q3" s="66" t="s">
        <v>1296</v>
      </c>
      <c r="S3" s="32" t="s">
        <v>1307</v>
      </c>
      <c r="T3" s="55" t="s">
        <v>1308</v>
      </c>
      <c r="V3" s="57"/>
      <c r="W3" s="394"/>
      <c r="X3" s="395"/>
      <c r="Y3" s="395"/>
      <c r="Z3" s="396"/>
      <c r="AB3" s="170">
        <v>1</v>
      </c>
      <c r="AC3" s="168"/>
      <c r="AD3" s="168"/>
      <c r="AE3" s="212"/>
      <c r="AF3" s="165">
        <f t="shared" ref="AF3:AF27" si="0">(AE3-AG3)/(1-AH3)</f>
        <v>0</v>
      </c>
      <c r="AG3" s="166">
        <f>IF(AND(AE3&gt;$AN$4,AE3&lt;=$AO$4),$AM$4,IF(AND(AE3&gt;$AN$5,AE3&lt;=$AO$5),$AM$5,IF(AND(AE3&gt;$AN$6,AE3&lt;=$AO$6),$AM$6,IF(AND(AE3&gt;$AN$7,AE3&lt;=$AO$7),$AM$8,IF(AND(AE3&gt;$AN$8,AE3&lt;=$AO$8),$AM$8,0)))))</f>
        <v>0</v>
      </c>
      <c r="AH3" s="167">
        <f>IF(AND(AE3&gt;$AN$4,AE3&lt;=$AO$4),$AL$4,IF(AND(AE3&gt;$AN$5,AE3&lt;=$AO$5),$AL$5,IF(AND(AE3&gt;$AN$6,AE3&lt;=$AO$6),$AL$6,IF(AND(AE3&gt;$AN$7,AE3&lt;=$AO$7),$AL$8,IF(AND(AE3&gt;$AN$8,AE3&lt;=$AO$8),$AL$8,0)))))</f>
        <v>0</v>
      </c>
      <c r="AI3"/>
      <c r="AJ3"/>
      <c r="AK3" s="164" t="s">
        <v>1319</v>
      </c>
      <c r="AL3" s="164" t="s">
        <v>1242</v>
      </c>
      <c r="AM3" s="164" t="s">
        <v>1243</v>
      </c>
      <c r="AN3" s="164" t="s">
        <v>1320</v>
      </c>
      <c r="AO3" s="164" t="s">
        <v>1321</v>
      </c>
      <c r="AS3" s="106">
        <v>4</v>
      </c>
      <c r="AT3" s="136">
        <v>460</v>
      </c>
      <c r="AU3" s="41" t="s">
        <v>1162</v>
      </c>
      <c r="AV3" s="118" t="s">
        <v>1229</v>
      </c>
      <c r="AW3" s="41" t="s">
        <v>1162</v>
      </c>
      <c r="AZ3" s="168">
        <v>11</v>
      </c>
      <c r="BA3" s="107" t="s">
        <v>1217</v>
      </c>
      <c r="BB3" s="114" t="s">
        <v>1208</v>
      </c>
      <c r="BC3" s="114" t="s">
        <v>1209</v>
      </c>
      <c r="BD3" s="120" t="s">
        <v>1230</v>
      </c>
    </row>
    <row r="4" spans="1:56" s="5" customFormat="1" ht="42" customHeight="1">
      <c r="A4" s="214"/>
      <c r="B4" s="6" t="s">
        <v>579</v>
      </c>
      <c r="C4" s="373" t="s">
        <v>640</v>
      </c>
      <c r="D4" s="374"/>
      <c r="E4" s="375"/>
      <c r="F4" s="135" t="s">
        <v>1195</v>
      </c>
      <c r="G4" s="371" t="s">
        <v>1354</v>
      </c>
      <c r="H4" s="372"/>
      <c r="I4" s="409" t="s">
        <v>1133</v>
      </c>
      <c r="J4" s="412">
        <v>0</v>
      </c>
      <c r="K4" s="45" t="e">
        <f>IF(VALUE(J4)-SUMIF(C12:J12,"X",#REF!)&gt;0,"OK","N.OK")</f>
        <v>#REF!</v>
      </c>
      <c r="L4" s="349" t="s">
        <v>1201</v>
      </c>
      <c r="M4" s="350" t="s">
        <v>1198</v>
      </c>
      <c r="N4" s="351" t="s">
        <v>1199</v>
      </c>
      <c r="O4" s="207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68"/>
      <c r="AD4" s="168"/>
      <c r="AE4" s="212"/>
      <c r="AF4" s="165">
        <f t="shared" si="0"/>
        <v>0</v>
      </c>
      <c r="AG4" s="166">
        <f t="shared" ref="AG4:AG27" si="1">IF(AND(AE4&gt;$AN$4,AE4&lt;=$AO$4),$AM$4,IF(AND(AE4&gt;$AN$5,AE4&lt;=$AO$5),$AM$5,IF(AND(AE4&gt;$AN$6,AE4&lt;=$AO$6),$AM$6,IF(AND(AE4&gt;$AN$7,AE4&lt;=$AO$7),$AM$8,IF(AND(AE4&gt;$AN$8,AE4&lt;=$AO$8),$AM$8,0)))))</f>
        <v>0</v>
      </c>
      <c r="AH4" s="174">
        <f t="shared" ref="AH4:AH27" si="2">IF(AND(AE4&gt;$AN$4,AE4&lt;=$AO$4),$AL$4,IF(AND(AE4&gt;$AN$5,AE4&lt;=$AO$5),$AL$5,IF(AND(AE4&gt;$AN$6,AE4&lt;=$AO$6),$AL$6,IF(AND(AE4&gt;$AN$7,AE4&lt;=$AO$7),$AL$8,IF(AND(AE4&gt;$AN$8,AE4&lt;=$AO$8),$AL$8,0)))))</f>
        <v>0</v>
      </c>
      <c r="AI4"/>
      <c r="AJ4"/>
      <c r="AK4" s="123" t="s">
        <v>1244</v>
      </c>
      <c r="AL4" s="175">
        <v>0</v>
      </c>
      <c r="AM4" s="160">
        <v>0</v>
      </c>
      <c r="AN4" s="125">
        <v>1</v>
      </c>
      <c r="AO4" s="125">
        <v>1787.77</v>
      </c>
      <c r="AS4" s="106">
        <v>8</v>
      </c>
      <c r="AT4" s="136">
        <v>860</v>
      </c>
      <c r="AU4" s="107" t="s">
        <v>1162</v>
      </c>
      <c r="AV4" s="118" t="s">
        <v>1229</v>
      </c>
      <c r="AW4" s="107" t="s">
        <v>1162</v>
      </c>
      <c r="AZ4" s="168">
        <v>12</v>
      </c>
      <c r="BA4" s="107" t="s">
        <v>1218</v>
      </c>
      <c r="BB4" s="111" t="s">
        <v>1203</v>
      </c>
      <c r="BC4" s="112" t="s">
        <v>1204</v>
      </c>
      <c r="BD4" s="119" t="s">
        <v>1229</v>
      </c>
    </row>
    <row r="5" spans="1:56" s="5" customFormat="1" ht="33.75" customHeight="1">
      <c r="A5" s="214"/>
      <c r="B5" s="40" t="s">
        <v>593</v>
      </c>
      <c r="C5" s="376" t="s">
        <v>1355</v>
      </c>
      <c r="D5" s="377"/>
      <c r="E5" s="377"/>
      <c r="F5" s="377"/>
      <c r="G5" s="377"/>
      <c r="H5" s="378"/>
      <c r="I5" s="410"/>
      <c r="J5" s="412"/>
      <c r="K5" s="45"/>
      <c r="L5" s="349" t="s">
        <v>1202</v>
      </c>
      <c r="M5" s="351" t="s">
        <v>1203</v>
      </c>
      <c r="N5" s="351" t="s">
        <v>1204</v>
      </c>
      <c r="O5" s="207"/>
      <c r="P5" s="32" t="s">
        <v>1299</v>
      </c>
      <c r="Q5" s="66" t="s">
        <v>1300</v>
      </c>
      <c r="T5" s="56"/>
      <c r="AB5" s="170">
        <v>3</v>
      </c>
      <c r="AC5" s="168"/>
      <c r="AD5" s="168"/>
      <c r="AE5" s="212"/>
      <c r="AF5" s="165">
        <f t="shared" si="0"/>
        <v>0</v>
      </c>
      <c r="AG5" s="166">
        <f t="shared" si="1"/>
        <v>0</v>
      </c>
      <c r="AH5" s="174">
        <f t="shared" si="2"/>
        <v>0</v>
      </c>
      <c r="AI5"/>
      <c r="AJ5"/>
      <c r="AK5" s="123" t="s">
        <v>1246</v>
      </c>
      <c r="AL5" s="175">
        <v>7.4999999999999997E-2</v>
      </c>
      <c r="AM5" s="125">
        <v>134.08000000000001</v>
      </c>
      <c r="AN5" s="125">
        <v>1787.78</v>
      </c>
      <c r="AO5" s="125">
        <v>2679.29</v>
      </c>
      <c r="AS5" s="106">
        <v>12</v>
      </c>
      <c r="AT5" s="136">
        <v>1260</v>
      </c>
      <c r="AU5" s="107" t="s">
        <v>1162</v>
      </c>
      <c r="AV5" s="118" t="s">
        <v>1229</v>
      </c>
      <c r="AW5" s="107" t="s">
        <v>1162</v>
      </c>
      <c r="AZ5" s="168">
        <v>18</v>
      </c>
      <c r="BA5" s="107" t="s">
        <v>1226</v>
      </c>
      <c r="BB5" s="116" t="s">
        <v>1212</v>
      </c>
      <c r="BC5" s="116" t="s">
        <v>1213</v>
      </c>
      <c r="BD5" s="119" t="s">
        <v>1229</v>
      </c>
    </row>
    <row r="6" spans="1:56" s="5" customFormat="1" ht="25.5" customHeight="1">
      <c r="A6" s="214"/>
      <c r="B6" s="379" t="s">
        <v>594</v>
      </c>
      <c r="C6" s="380" t="s">
        <v>1356</v>
      </c>
      <c r="D6" s="381"/>
      <c r="E6" s="381"/>
      <c r="F6" s="381"/>
      <c r="G6" s="381"/>
      <c r="H6" s="382"/>
      <c r="I6" s="410"/>
      <c r="J6" s="412"/>
      <c r="K6" s="45"/>
      <c r="L6" s="349" t="s">
        <v>1205</v>
      </c>
      <c r="M6" s="352" t="s">
        <v>1203</v>
      </c>
      <c r="N6" s="352" t="s">
        <v>1204</v>
      </c>
      <c r="O6" s="207"/>
      <c r="P6" s="32" t="s">
        <v>1301</v>
      </c>
      <c r="Q6" s="66" t="s">
        <v>1302</v>
      </c>
      <c r="T6" s="56"/>
      <c r="AB6" s="171">
        <v>4</v>
      </c>
      <c r="AC6" s="168"/>
      <c r="AD6" s="168"/>
      <c r="AE6" s="169"/>
      <c r="AF6" s="165">
        <f t="shared" si="0"/>
        <v>0</v>
      </c>
      <c r="AG6" s="166">
        <f t="shared" si="1"/>
        <v>0</v>
      </c>
      <c r="AH6" s="174">
        <f t="shared" si="2"/>
        <v>0</v>
      </c>
      <c r="AI6"/>
      <c r="AJ6"/>
      <c r="AK6" s="123" t="s">
        <v>1248</v>
      </c>
      <c r="AL6" s="175">
        <v>0.15</v>
      </c>
      <c r="AM6" s="160">
        <v>335.03</v>
      </c>
      <c r="AN6" s="160">
        <v>2679.3</v>
      </c>
      <c r="AO6" s="160">
        <v>3572.43</v>
      </c>
      <c r="AS6" s="106">
        <v>16</v>
      </c>
      <c r="AT6" s="136">
        <v>1710</v>
      </c>
      <c r="AU6" s="107" t="s">
        <v>1162</v>
      </c>
      <c r="AV6" s="118" t="s">
        <v>1229</v>
      </c>
      <c r="AW6" s="107" t="s">
        <v>1162</v>
      </c>
      <c r="AZ6" s="168">
        <v>19</v>
      </c>
      <c r="BA6" s="107" t="s">
        <v>1227</v>
      </c>
      <c r="BB6" s="116" t="s">
        <v>1225</v>
      </c>
      <c r="BC6" s="116" t="s">
        <v>1212</v>
      </c>
      <c r="BD6" s="119" t="s">
        <v>1229</v>
      </c>
    </row>
    <row r="7" spans="1:56" s="5" customFormat="1" ht="25.5" customHeight="1">
      <c r="A7" s="214"/>
      <c r="B7" s="379"/>
      <c r="C7" s="383"/>
      <c r="D7" s="384"/>
      <c r="E7" s="384"/>
      <c r="F7" s="384"/>
      <c r="G7" s="384"/>
      <c r="H7" s="385"/>
      <c r="I7" s="411"/>
      <c r="J7" s="412"/>
      <c r="K7" s="45"/>
      <c r="L7" s="349" t="s">
        <v>1206</v>
      </c>
      <c r="M7" s="353" t="s">
        <v>1198</v>
      </c>
      <c r="N7" s="351" t="s">
        <v>1199</v>
      </c>
      <c r="O7" s="207"/>
      <c r="P7" s="32" t="s">
        <v>1303</v>
      </c>
      <c r="Q7" s="348" t="s">
        <v>1304</v>
      </c>
      <c r="T7" s="56"/>
      <c r="AB7" s="170">
        <v>5</v>
      </c>
      <c r="AC7" s="168"/>
      <c r="AD7" s="168"/>
      <c r="AE7" s="169"/>
      <c r="AF7" s="165">
        <f t="shared" si="0"/>
        <v>0</v>
      </c>
      <c r="AG7" s="166">
        <f t="shared" si="1"/>
        <v>0</v>
      </c>
      <c r="AH7" s="174">
        <f t="shared" si="2"/>
        <v>0</v>
      </c>
      <c r="AI7"/>
      <c r="AJ7"/>
      <c r="AK7" s="123" t="s">
        <v>1249</v>
      </c>
      <c r="AL7" s="175">
        <v>0.22500000000000001</v>
      </c>
      <c r="AM7" s="160">
        <v>602.96</v>
      </c>
      <c r="AN7" s="160">
        <v>3572.44</v>
      </c>
      <c r="AO7" s="160">
        <v>4463.8100000000004</v>
      </c>
      <c r="AS7" s="106">
        <v>20</v>
      </c>
      <c r="AT7" s="136">
        <v>2110</v>
      </c>
      <c r="AU7" s="107" t="s">
        <v>1162</v>
      </c>
      <c r="AV7" s="118" t="s">
        <v>1229</v>
      </c>
      <c r="AW7" s="107" t="s">
        <v>1162</v>
      </c>
      <c r="AZ7" s="168">
        <v>1</v>
      </c>
      <c r="BA7" s="107" t="s">
        <v>1197</v>
      </c>
      <c r="BB7" s="111" t="s">
        <v>1198</v>
      </c>
      <c r="BC7" s="111" t="s">
        <v>1199</v>
      </c>
      <c r="BD7" s="119" t="s">
        <v>1229</v>
      </c>
    </row>
    <row r="8" spans="1:56" s="5" customFormat="1" ht="25.5" customHeight="1">
      <c r="A8" s="214"/>
      <c r="B8" s="6" t="s">
        <v>595</v>
      </c>
      <c r="C8" s="386" t="s">
        <v>674</v>
      </c>
      <c r="D8" s="386"/>
      <c r="E8" s="386"/>
      <c r="F8" s="386"/>
      <c r="G8" s="386"/>
      <c r="H8" s="386"/>
      <c r="I8" s="386"/>
      <c r="J8" s="387"/>
      <c r="K8" s="45"/>
      <c r="L8" s="349" t="s">
        <v>1207</v>
      </c>
      <c r="M8" s="354" t="s">
        <v>1208</v>
      </c>
      <c r="N8" s="351" t="s">
        <v>1209</v>
      </c>
      <c r="O8" s="207"/>
      <c r="P8" s="32" t="s">
        <v>1305</v>
      </c>
      <c r="Q8" s="348" t="s">
        <v>1306</v>
      </c>
      <c r="T8" s="56"/>
      <c r="AB8" s="171">
        <v>6</v>
      </c>
      <c r="AC8" s="168"/>
      <c r="AD8" s="168"/>
      <c r="AE8" s="169"/>
      <c r="AF8" s="165">
        <f t="shared" si="0"/>
        <v>0</v>
      </c>
      <c r="AG8" s="166">
        <f t="shared" si="1"/>
        <v>0</v>
      </c>
      <c r="AH8" s="174">
        <f t="shared" si="2"/>
        <v>0</v>
      </c>
      <c r="AI8"/>
      <c r="AJ8"/>
      <c r="AK8" s="123" t="s">
        <v>1251</v>
      </c>
      <c r="AL8" s="175">
        <v>0.27500000000000002</v>
      </c>
      <c r="AM8" s="160">
        <v>826.15</v>
      </c>
      <c r="AN8" s="160">
        <v>4463.82</v>
      </c>
      <c r="AO8" s="160">
        <v>1000000</v>
      </c>
      <c r="AS8" s="106">
        <v>24</v>
      </c>
      <c r="AT8" s="136">
        <v>2560</v>
      </c>
      <c r="AU8" s="107" t="s">
        <v>1162</v>
      </c>
      <c r="AV8" s="118" t="s">
        <v>1229</v>
      </c>
      <c r="AW8" s="107" t="s">
        <v>1162</v>
      </c>
      <c r="AZ8" s="168">
        <v>16</v>
      </c>
      <c r="BA8" s="107" t="s">
        <v>1223</v>
      </c>
      <c r="BB8" s="117" t="s">
        <v>1212</v>
      </c>
      <c r="BC8" s="117" t="s">
        <v>1213</v>
      </c>
      <c r="BD8" s="119" t="s">
        <v>1229</v>
      </c>
    </row>
    <row r="9" spans="1:56" s="5" customFormat="1" ht="25.5" customHeight="1">
      <c r="A9" s="214"/>
      <c r="B9" s="6" t="s">
        <v>596</v>
      </c>
      <c r="C9" s="386" t="s">
        <v>412</v>
      </c>
      <c r="D9" s="386"/>
      <c r="E9" s="386"/>
      <c r="F9" s="386"/>
      <c r="G9" s="386"/>
      <c r="H9" s="386"/>
      <c r="I9" s="386"/>
      <c r="J9" s="387"/>
      <c r="K9" s="45"/>
      <c r="L9" s="349" t="s">
        <v>1210</v>
      </c>
      <c r="M9" s="354" t="s">
        <v>1204</v>
      </c>
      <c r="N9" s="351" t="s">
        <v>1208</v>
      </c>
      <c r="O9" s="208"/>
      <c r="P9" s="14"/>
      <c r="Q9" s="54"/>
      <c r="T9" s="56"/>
      <c r="AB9" s="170">
        <v>7</v>
      </c>
      <c r="AC9" s="168"/>
      <c r="AD9" s="168"/>
      <c r="AE9" s="169"/>
      <c r="AF9" s="165">
        <f t="shared" si="0"/>
        <v>0</v>
      </c>
      <c r="AG9" s="166">
        <f t="shared" si="1"/>
        <v>0</v>
      </c>
      <c r="AH9" s="174">
        <f t="shared" si="2"/>
        <v>0</v>
      </c>
      <c r="AI9"/>
      <c r="AJ9"/>
      <c r="AK9"/>
      <c r="AL9"/>
      <c r="AM9"/>
      <c r="AN9"/>
      <c r="AO9"/>
      <c r="AS9" s="106">
        <v>28</v>
      </c>
      <c r="AT9" s="136">
        <v>2961</v>
      </c>
      <c r="AU9" s="107" t="s">
        <v>1162</v>
      </c>
      <c r="AV9" s="118" t="s">
        <v>1229</v>
      </c>
      <c r="AW9" s="107" t="s">
        <v>1162</v>
      </c>
      <c r="AZ9" s="168">
        <v>17</v>
      </c>
      <c r="BA9" s="107" t="s">
        <v>1224</v>
      </c>
      <c r="BB9" s="116" t="s">
        <v>1225</v>
      </c>
      <c r="BC9" s="116" t="s">
        <v>1212</v>
      </c>
      <c r="BD9" s="119" t="s">
        <v>1229</v>
      </c>
    </row>
    <row r="10" spans="1:56" s="5" customFormat="1" ht="25.5" customHeight="1">
      <c r="A10" s="214"/>
      <c r="B10" s="40" t="s">
        <v>1130</v>
      </c>
      <c r="C10" s="403" t="s">
        <v>1357</v>
      </c>
      <c r="D10" s="404"/>
      <c r="E10" s="404"/>
      <c r="F10" s="404"/>
      <c r="G10" s="404"/>
      <c r="H10" s="404"/>
      <c r="I10" s="404"/>
      <c r="J10" s="405"/>
      <c r="K10" s="45"/>
      <c r="L10" s="349" t="s">
        <v>1211</v>
      </c>
      <c r="M10" s="354" t="s">
        <v>1212</v>
      </c>
      <c r="N10" s="351" t="s">
        <v>1213</v>
      </c>
      <c r="O10" s="208"/>
      <c r="P10" s="14"/>
      <c r="AB10" s="171">
        <v>8</v>
      </c>
      <c r="AC10" s="168"/>
      <c r="AD10" s="168"/>
      <c r="AE10" s="169"/>
      <c r="AF10" s="165">
        <f t="shared" si="0"/>
        <v>0</v>
      </c>
      <c r="AG10" s="166">
        <f t="shared" si="1"/>
        <v>0</v>
      </c>
      <c r="AH10" s="174">
        <f t="shared" si="2"/>
        <v>0</v>
      </c>
      <c r="AI10"/>
      <c r="AJ10"/>
      <c r="AK10"/>
      <c r="AL10"/>
      <c r="AM10" s="32" t="s">
        <v>1124</v>
      </c>
      <c r="AN10" s="168" t="s">
        <v>1284</v>
      </c>
      <c r="AO10" s="169">
        <f>SUMIF(AC$3:AC$27,AN10,AF$3:AF$27)</f>
        <v>0</v>
      </c>
      <c r="AS10" s="106">
        <v>32</v>
      </c>
      <c r="AT10" s="136">
        <v>3370</v>
      </c>
      <c r="AU10" s="107" t="s">
        <v>1162</v>
      </c>
      <c r="AV10" s="118" t="s">
        <v>1229</v>
      </c>
      <c r="AW10" s="107" t="s">
        <v>1162</v>
      </c>
      <c r="AZ10" s="168">
        <v>20</v>
      </c>
      <c r="BA10" s="107" t="s">
        <v>1228</v>
      </c>
      <c r="BB10" s="116" t="s">
        <v>1212</v>
      </c>
      <c r="BC10" s="116" t="s">
        <v>1212</v>
      </c>
      <c r="BD10" s="119" t="s">
        <v>1229</v>
      </c>
    </row>
    <row r="11" spans="1:56" s="5" customFormat="1" ht="25.5" customHeight="1">
      <c r="A11" s="214"/>
      <c r="B11" s="406" t="s">
        <v>597</v>
      </c>
      <c r="C11" s="407"/>
      <c r="D11" s="407"/>
      <c r="E11" s="407"/>
      <c r="F11" s="407"/>
      <c r="G11" s="407"/>
      <c r="H11" s="407"/>
      <c r="I11" s="407"/>
      <c r="J11" s="408"/>
      <c r="K11" s="45"/>
      <c r="L11" s="349" t="s">
        <v>1214</v>
      </c>
      <c r="M11" s="353" t="s">
        <v>1215</v>
      </c>
      <c r="N11" s="353" t="s">
        <v>1216</v>
      </c>
      <c r="O11" s="208"/>
      <c r="P11" s="14"/>
      <c r="AB11" s="170">
        <v>9</v>
      </c>
      <c r="AC11" s="168"/>
      <c r="AD11" s="168"/>
      <c r="AE11" s="169"/>
      <c r="AF11" s="165">
        <f t="shared" si="0"/>
        <v>0</v>
      </c>
      <c r="AG11" s="166">
        <f t="shared" si="1"/>
        <v>0</v>
      </c>
      <c r="AH11" s="174">
        <f t="shared" si="2"/>
        <v>0</v>
      </c>
      <c r="AI11"/>
      <c r="AJ11"/>
      <c r="AK11" s="162"/>
      <c r="AL11"/>
      <c r="AM11" s="32" t="s">
        <v>624</v>
      </c>
      <c r="AN11" s="168" t="s">
        <v>1322</v>
      </c>
      <c r="AO11" s="169">
        <f>SUMIF(AC$3:AC$27,AN11,AF$3:AF$27)</f>
        <v>0</v>
      </c>
      <c r="AS11" s="106">
        <v>36</v>
      </c>
      <c r="AT11" s="136">
        <v>3791</v>
      </c>
      <c r="AU11" s="107" t="s">
        <v>1162</v>
      </c>
      <c r="AV11" s="118" t="s">
        <v>1229</v>
      </c>
      <c r="AW11" s="107" t="s">
        <v>1162</v>
      </c>
      <c r="AZ11" s="168">
        <v>13</v>
      </c>
      <c r="BA11" s="107" t="s">
        <v>1219</v>
      </c>
      <c r="BB11" s="113" t="s">
        <v>1198</v>
      </c>
      <c r="BC11" s="113" t="s">
        <v>1208</v>
      </c>
      <c r="BD11" s="119" t="s">
        <v>1229</v>
      </c>
    </row>
    <row r="12" spans="1:56" s="7" customFormat="1" ht="25.5" customHeight="1">
      <c r="A12" s="214"/>
      <c r="B12" s="58" t="s">
        <v>1169</v>
      </c>
      <c r="C12" s="313"/>
      <c r="D12" s="313" t="s">
        <v>1135</v>
      </c>
      <c r="E12" s="313"/>
      <c r="F12" s="314"/>
      <c r="G12" s="314"/>
      <c r="H12" s="314"/>
      <c r="I12" s="314"/>
      <c r="J12" s="314"/>
      <c r="K12" s="45" t="str">
        <f>IF(COUNTIF(C12:J12,"X")&gt;0,"OK","N.OK")</f>
        <v>OK</v>
      </c>
      <c r="L12" s="349" t="s">
        <v>1217</v>
      </c>
      <c r="M12" s="353" t="s">
        <v>1208</v>
      </c>
      <c r="N12" s="353" t="s">
        <v>1209</v>
      </c>
      <c r="O12" s="208"/>
      <c r="P12" s="14"/>
      <c r="AB12" s="171">
        <v>10</v>
      </c>
      <c r="AC12" s="168"/>
      <c r="AD12" s="168"/>
      <c r="AE12" s="169"/>
      <c r="AF12" s="165">
        <f t="shared" si="0"/>
        <v>0</v>
      </c>
      <c r="AG12" s="166">
        <f t="shared" si="1"/>
        <v>0</v>
      </c>
      <c r="AH12" s="174">
        <f t="shared" si="2"/>
        <v>0</v>
      </c>
      <c r="AI12"/>
      <c r="AJ12"/>
      <c r="AK12" s="162"/>
      <c r="AL12"/>
      <c r="AM12"/>
      <c r="AN12"/>
      <c r="AO12"/>
      <c r="AS12" s="106">
        <v>40</v>
      </c>
      <c r="AT12" s="136">
        <v>4210</v>
      </c>
      <c r="AU12" s="107" t="s">
        <v>1162</v>
      </c>
      <c r="AV12" s="118" t="s">
        <v>1229</v>
      </c>
      <c r="AW12" s="107" t="s">
        <v>1162</v>
      </c>
      <c r="AZ12" s="168">
        <v>15</v>
      </c>
      <c r="BA12" s="107" t="s">
        <v>1222</v>
      </c>
      <c r="BB12" s="113" t="s">
        <v>1212</v>
      </c>
      <c r="BC12" s="113" t="s">
        <v>1213</v>
      </c>
      <c r="BD12" s="41"/>
    </row>
    <row r="13" spans="1:56" s="7" customFormat="1" ht="31.5" customHeight="1">
      <c r="A13" s="214"/>
      <c r="B13" s="68" t="s">
        <v>1132</v>
      </c>
      <c r="C13" s="217" t="s">
        <v>1206</v>
      </c>
      <c r="D13" s="315" t="s">
        <v>1223</v>
      </c>
      <c r="E13" s="315" t="s">
        <v>1202</v>
      </c>
      <c r="F13" s="217" t="s">
        <v>1206</v>
      </c>
      <c r="G13" s="217" t="s">
        <v>1200</v>
      </c>
      <c r="H13" s="217" t="s">
        <v>1206</v>
      </c>
      <c r="I13" s="315" t="s">
        <v>1223</v>
      </c>
      <c r="J13" s="315" t="s">
        <v>1202</v>
      </c>
      <c r="K13" s="45"/>
      <c r="L13" s="349" t="s">
        <v>1325</v>
      </c>
      <c r="M13" s="353" t="s">
        <v>1212</v>
      </c>
      <c r="N13" s="353" t="s">
        <v>1213</v>
      </c>
      <c r="O13" s="208"/>
      <c r="P13" s="14"/>
      <c r="AB13" s="170">
        <v>11</v>
      </c>
      <c r="AC13" s="168"/>
      <c r="AD13" s="168"/>
      <c r="AE13" s="169"/>
      <c r="AF13" s="165">
        <f t="shared" si="0"/>
        <v>0</v>
      </c>
      <c r="AG13" s="166">
        <f t="shared" si="1"/>
        <v>0</v>
      </c>
      <c r="AH13" s="174">
        <f t="shared" si="2"/>
        <v>0</v>
      </c>
      <c r="AI13"/>
      <c r="AJ13"/>
      <c r="AL13"/>
      <c r="AM13"/>
      <c r="AN13"/>
      <c r="AO13"/>
      <c r="AS13" s="106">
        <v>44</v>
      </c>
      <c r="AT13" s="136">
        <v>4631</v>
      </c>
      <c r="AU13" s="107" t="s">
        <v>1162</v>
      </c>
      <c r="AV13" s="118" t="s">
        <v>1229</v>
      </c>
      <c r="AW13" s="107" t="s">
        <v>1162</v>
      </c>
      <c r="AZ13" s="168">
        <v>14</v>
      </c>
      <c r="BA13" s="107" t="s">
        <v>1220</v>
      </c>
      <c r="BB13" s="116" t="s">
        <v>1209</v>
      </c>
      <c r="BC13" s="114" t="s">
        <v>1221</v>
      </c>
      <c r="BD13" s="119" t="s">
        <v>1229</v>
      </c>
    </row>
    <row r="14" spans="1:56" s="7" customFormat="1" ht="25.5" customHeight="1">
      <c r="A14" s="214"/>
      <c r="B14" s="156" t="s">
        <v>1277</v>
      </c>
      <c r="C14" s="218">
        <v>10</v>
      </c>
      <c r="D14" s="312">
        <v>2</v>
      </c>
      <c r="E14" s="312">
        <v>3</v>
      </c>
      <c r="F14" s="218">
        <v>12</v>
      </c>
      <c r="G14" s="218">
        <v>12</v>
      </c>
      <c r="H14" s="218">
        <v>12</v>
      </c>
      <c r="I14" s="312">
        <v>2</v>
      </c>
      <c r="J14" s="312">
        <v>3</v>
      </c>
      <c r="K14" s="45"/>
      <c r="L14" s="349" t="s">
        <v>1218</v>
      </c>
      <c r="M14" s="353" t="s">
        <v>1203</v>
      </c>
      <c r="N14" s="353" t="s">
        <v>1204</v>
      </c>
      <c r="O14" s="208"/>
      <c r="P14" s="14"/>
      <c r="AB14" s="171">
        <v>12</v>
      </c>
      <c r="AC14" s="168"/>
      <c r="AD14" s="168"/>
      <c r="AE14" s="169"/>
      <c r="AF14" s="165">
        <f t="shared" si="0"/>
        <v>0</v>
      </c>
      <c r="AG14" s="166">
        <f t="shared" si="1"/>
        <v>0</v>
      </c>
      <c r="AH14" s="174">
        <f t="shared" si="2"/>
        <v>0</v>
      </c>
      <c r="AI14"/>
      <c r="AJ14"/>
      <c r="AK14"/>
      <c r="AL14"/>
      <c r="AM14"/>
      <c r="AN14"/>
      <c r="AO14"/>
      <c r="AS14" s="106">
        <v>48</v>
      </c>
      <c r="AT14" s="136">
        <v>5052</v>
      </c>
      <c r="AU14" s="107" t="s">
        <v>1162</v>
      </c>
      <c r="AV14" s="118" t="s">
        <v>1229</v>
      </c>
      <c r="AW14" s="107" t="s">
        <v>1162</v>
      </c>
      <c r="AZ14" s="168">
        <v>6</v>
      </c>
      <c r="BA14" s="107" t="s">
        <v>1206</v>
      </c>
      <c r="BB14" s="115" t="s">
        <v>1198</v>
      </c>
      <c r="BC14" s="112" t="s">
        <v>1199</v>
      </c>
      <c r="BD14" s="120" t="s">
        <v>1230</v>
      </c>
    </row>
    <row r="15" spans="1:56" s="5" customFormat="1" ht="25.5" customHeight="1">
      <c r="A15" s="214"/>
      <c r="B15" s="69" t="s">
        <v>599</v>
      </c>
      <c r="C15" s="307" t="s">
        <v>1290</v>
      </c>
      <c r="D15" s="308" t="s">
        <v>1290</v>
      </c>
      <c r="E15" s="308" t="s">
        <v>1307</v>
      </c>
      <c r="F15" s="308" t="s">
        <v>1290</v>
      </c>
      <c r="G15" s="308" t="s">
        <v>1290</v>
      </c>
      <c r="H15" s="308" t="s">
        <v>1290</v>
      </c>
      <c r="I15" s="308" t="s">
        <v>1290</v>
      </c>
      <c r="J15" s="308" t="s">
        <v>1307</v>
      </c>
      <c r="K15" s="45"/>
      <c r="L15" s="349" t="s">
        <v>1219</v>
      </c>
      <c r="M15" s="350" t="s">
        <v>1198</v>
      </c>
      <c r="N15" s="351" t="s">
        <v>1208</v>
      </c>
      <c r="O15" s="208"/>
      <c r="P15" s="14"/>
      <c r="AB15" s="170">
        <v>13</v>
      </c>
      <c r="AC15" s="168"/>
      <c r="AD15" s="168"/>
      <c r="AE15" s="169"/>
      <c r="AF15" s="165">
        <f t="shared" si="0"/>
        <v>0</v>
      </c>
      <c r="AG15" s="166">
        <f t="shared" si="1"/>
        <v>0</v>
      </c>
      <c r="AH15" s="174">
        <f t="shared" si="2"/>
        <v>0</v>
      </c>
      <c r="AI15"/>
      <c r="AJ15"/>
      <c r="AK15"/>
      <c r="AL15"/>
      <c r="AM15"/>
      <c r="AN15"/>
      <c r="AO15"/>
      <c r="AS15" s="106">
        <v>4</v>
      </c>
      <c r="AT15" s="136">
        <v>160</v>
      </c>
      <c r="AU15" s="107" t="s">
        <v>1163</v>
      </c>
      <c r="AV15" s="118" t="s">
        <v>1229</v>
      </c>
      <c r="AW15" s="107" t="s">
        <v>1163</v>
      </c>
      <c r="AZ15" s="168">
        <v>9</v>
      </c>
      <c r="BA15" s="107" t="s">
        <v>1211</v>
      </c>
      <c r="BB15" s="114" t="s">
        <v>1212</v>
      </c>
      <c r="BC15" s="114" t="s">
        <v>1213</v>
      </c>
      <c r="BD15" s="41"/>
    </row>
    <row r="16" spans="1:56" s="5" customFormat="1" ht="25.5" customHeight="1">
      <c r="A16" s="214"/>
      <c r="B16" s="75" t="s">
        <v>588</v>
      </c>
      <c r="C16" s="140">
        <f>IF(C$15&lt;&gt;"",(VLOOKUP(C$15,$S$3:$T$4,2,FALSE))*100%,"")</f>
        <v>9.2499999999999999E-2</v>
      </c>
      <c r="D16" s="140">
        <f>IF(D$15&lt;&gt;"",(VLOOKUP(D$15,$S$3:$T$4,2,FALSE))*100%,"")</f>
        <v>9.2499999999999999E-2</v>
      </c>
      <c r="E16" s="140">
        <f t="shared" ref="E16:J16" si="3">IF(E$15&lt;&gt;"",(VLOOKUP(E$15,$S$3:$T$4,2,FALSE))*100%,"")</f>
        <v>0.14249999999999999</v>
      </c>
      <c r="F16" s="140">
        <f t="shared" si="3"/>
        <v>9.2499999999999999E-2</v>
      </c>
      <c r="G16" s="140">
        <f t="shared" si="3"/>
        <v>9.2499999999999999E-2</v>
      </c>
      <c r="H16" s="140">
        <f t="shared" si="3"/>
        <v>9.2499999999999999E-2</v>
      </c>
      <c r="I16" s="140">
        <f t="shared" si="3"/>
        <v>9.2499999999999999E-2</v>
      </c>
      <c r="J16" s="140">
        <f t="shared" si="3"/>
        <v>0.14249999999999999</v>
      </c>
      <c r="K16" s="45"/>
      <c r="L16" s="349" t="s">
        <v>1220</v>
      </c>
      <c r="M16" s="352" t="s">
        <v>1209</v>
      </c>
      <c r="N16" s="352" t="s">
        <v>1221</v>
      </c>
      <c r="O16" s="208"/>
      <c r="P16" s="14"/>
      <c r="AB16" s="171">
        <v>14</v>
      </c>
      <c r="AC16" s="168"/>
      <c r="AD16" s="168"/>
      <c r="AE16" s="169"/>
      <c r="AF16" s="165">
        <f t="shared" si="0"/>
        <v>0</v>
      </c>
      <c r="AG16" s="166">
        <f t="shared" si="1"/>
        <v>0</v>
      </c>
      <c r="AH16" s="174">
        <f t="shared" si="2"/>
        <v>0</v>
      </c>
      <c r="AI16"/>
      <c r="AJ16"/>
      <c r="AK16"/>
      <c r="AL16"/>
      <c r="AM16"/>
      <c r="AN16"/>
      <c r="AO16"/>
      <c r="AS16" s="106">
        <v>8</v>
      </c>
      <c r="AT16" s="136">
        <v>310</v>
      </c>
      <c r="AU16" s="107" t="s">
        <v>1163</v>
      </c>
      <c r="AV16" s="118" t="s">
        <v>1229</v>
      </c>
      <c r="AW16" s="107" t="s">
        <v>1163</v>
      </c>
      <c r="AZ16" s="168">
        <v>10</v>
      </c>
      <c r="BA16" s="107" t="s">
        <v>1214</v>
      </c>
      <c r="BB16" s="114" t="s">
        <v>1215</v>
      </c>
      <c r="BC16" s="114" t="s">
        <v>1216</v>
      </c>
      <c r="BD16" s="41"/>
    </row>
    <row r="17" spans="1:225" s="5" customFormat="1" ht="25.5" customHeight="1" thickBot="1">
      <c r="A17" s="214"/>
      <c r="B17" s="6" t="s">
        <v>601</v>
      </c>
      <c r="C17" s="316" t="s">
        <v>515</v>
      </c>
      <c r="D17" s="316" t="s">
        <v>1127</v>
      </c>
      <c r="E17" s="316" t="s">
        <v>514</v>
      </c>
      <c r="F17" s="316" t="s">
        <v>513</v>
      </c>
      <c r="G17" s="316" t="s">
        <v>1127</v>
      </c>
      <c r="H17" s="316" t="s">
        <v>514</v>
      </c>
      <c r="I17" s="316" t="s">
        <v>515</v>
      </c>
      <c r="J17" s="316" t="s">
        <v>513</v>
      </c>
      <c r="K17" s="45"/>
      <c r="L17" s="349" t="s">
        <v>1222</v>
      </c>
      <c r="M17" s="355" t="s">
        <v>1212</v>
      </c>
      <c r="N17" s="353" t="s">
        <v>1213</v>
      </c>
      <c r="O17" s="208"/>
      <c r="P17" s="14"/>
      <c r="AB17" s="170">
        <v>15</v>
      </c>
      <c r="AC17" s="168"/>
      <c r="AD17" s="168"/>
      <c r="AE17" s="169"/>
      <c r="AF17" s="165">
        <f t="shared" si="0"/>
        <v>0</v>
      </c>
      <c r="AG17" s="166">
        <f t="shared" si="1"/>
        <v>0</v>
      </c>
      <c r="AH17" s="174">
        <f t="shared" si="2"/>
        <v>0</v>
      </c>
      <c r="AI17"/>
      <c r="AJ17"/>
      <c r="AK17"/>
      <c r="AL17"/>
      <c r="AM17"/>
      <c r="AN17"/>
      <c r="AO17"/>
      <c r="AS17" s="106">
        <v>12</v>
      </c>
      <c r="AT17" s="136">
        <v>430</v>
      </c>
      <c r="AU17" s="107" t="s">
        <v>1163</v>
      </c>
      <c r="AV17" s="118" t="s">
        <v>1229</v>
      </c>
      <c r="AW17" s="107" t="s">
        <v>1163</v>
      </c>
      <c r="AZ17" s="168">
        <v>8</v>
      </c>
      <c r="BA17" s="107" t="s">
        <v>1210</v>
      </c>
      <c r="BB17" s="115" t="s">
        <v>1204</v>
      </c>
      <c r="BC17" s="112" t="s">
        <v>1208</v>
      </c>
      <c r="BD17" s="41"/>
    </row>
    <row r="18" spans="1:225" s="5" customFormat="1" ht="25.5" customHeight="1" thickBot="1">
      <c r="A18" s="214"/>
      <c r="B18" s="73" t="s">
        <v>603</v>
      </c>
      <c r="C18" s="317">
        <v>10000</v>
      </c>
      <c r="D18" s="317">
        <v>15000</v>
      </c>
      <c r="E18" s="317">
        <v>38000</v>
      </c>
      <c r="F18" s="317">
        <v>22000</v>
      </c>
      <c r="G18" s="317">
        <v>35000</v>
      </c>
      <c r="H18" s="317">
        <v>38000</v>
      </c>
      <c r="I18" s="317">
        <v>10000</v>
      </c>
      <c r="J18" s="317">
        <v>22000</v>
      </c>
      <c r="K18" s="45"/>
      <c r="L18" s="349" t="s">
        <v>1223</v>
      </c>
      <c r="M18" s="352" t="s">
        <v>1212</v>
      </c>
      <c r="N18" s="352" t="s">
        <v>1213</v>
      </c>
      <c r="O18" s="208"/>
      <c r="P18" s="14"/>
      <c r="AB18" s="171">
        <v>16</v>
      </c>
      <c r="AC18" s="168"/>
      <c r="AD18" s="168"/>
      <c r="AE18" s="169"/>
      <c r="AF18" s="165">
        <f t="shared" si="0"/>
        <v>0</v>
      </c>
      <c r="AG18" s="166">
        <f t="shared" si="1"/>
        <v>0</v>
      </c>
      <c r="AH18" s="174">
        <f t="shared" si="2"/>
        <v>0</v>
      </c>
      <c r="AI18"/>
      <c r="AJ18"/>
      <c r="AK18"/>
      <c r="AL18"/>
      <c r="AM18"/>
      <c r="AN18"/>
      <c r="AO18"/>
      <c r="AS18" s="106">
        <v>16</v>
      </c>
      <c r="AT18" s="136">
        <v>570</v>
      </c>
      <c r="AU18" s="107" t="s">
        <v>1163</v>
      </c>
      <c r="AV18" s="118" t="s">
        <v>1229</v>
      </c>
      <c r="AW18" s="107" t="s">
        <v>1163</v>
      </c>
      <c r="AZ18" s="168">
        <v>7</v>
      </c>
      <c r="BA18" s="107" t="s">
        <v>1207</v>
      </c>
      <c r="BB18" s="115" t="s">
        <v>1208</v>
      </c>
      <c r="BC18" s="112" t="s">
        <v>1209</v>
      </c>
      <c r="BD18" s="119" t="s">
        <v>1229</v>
      </c>
    </row>
    <row r="19" spans="1:225" s="27" customFormat="1" ht="30.75" customHeight="1">
      <c r="A19" s="214"/>
      <c r="B19" s="26" t="s">
        <v>604</v>
      </c>
      <c r="C19" s="318" t="s">
        <v>1358</v>
      </c>
      <c r="D19" s="318" t="s">
        <v>1358</v>
      </c>
      <c r="E19" s="318" t="s">
        <v>1358</v>
      </c>
      <c r="F19" s="318" t="s">
        <v>1326</v>
      </c>
      <c r="G19" s="318" t="s">
        <v>1361</v>
      </c>
      <c r="H19" s="318" t="s">
        <v>1358</v>
      </c>
      <c r="I19" s="318" t="s">
        <v>1358</v>
      </c>
      <c r="J19" s="318" t="s">
        <v>1326</v>
      </c>
      <c r="K19" s="47"/>
      <c r="L19" s="356" t="s">
        <v>1224</v>
      </c>
      <c r="M19" s="352" t="s">
        <v>1225</v>
      </c>
      <c r="N19" s="352" t="s">
        <v>1212</v>
      </c>
      <c r="O19" s="209"/>
      <c r="P19" s="28"/>
      <c r="AB19" s="170">
        <v>17</v>
      </c>
      <c r="AC19" s="168"/>
      <c r="AD19" s="168"/>
      <c r="AE19" s="169"/>
      <c r="AF19" s="165">
        <f t="shared" si="0"/>
        <v>0</v>
      </c>
      <c r="AG19" s="166">
        <f t="shared" si="1"/>
        <v>0</v>
      </c>
      <c r="AH19" s="174">
        <f t="shared" si="2"/>
        <v>0</v>
      </c>
      <c r="AI19"/>
      <c r="AJ19"/>
      <c r="AK19"/>
      <c r="AL19"/>
      <c r="AM19"/>
      <c r="AN19"/>
      <c r="AO19"/>
      <c r="AS19" s="106">
        <v>20</v>
      </c>
      <c r="AT19" s="136">
        <v>710</v>
      </c>
      <c r="AU19" s="107" t="s">
        <v>1163</v>
      </c>
      <c r="AV19" s="118" t="s">
        <v>1229</v>
      </c>
      <c r="AW19" s="107" t="s">
        <v>1163</v>
      </c>
      <c r="AZ19" s="168">
        <v>5</v>
      </c>
      <c r="BA19" s="107" t="s">
        <v>1205</v>
      </c>
      <c r="BB19" s="114" t="s">
        <v>1203</v>
      </c>
      <c r="BC19" s="112" t="s">
        <v>1204</v>
      </c>
      <c r="BD19" s="120" t="s">
        <v>1230</v>
      </c>
    </row>
    <row r="20" spans="1:225" s="5" customFormat="1" ht="25.5" customHeight="1">
      <c r="A20" s="214"/>
      <c r="B20" s="6" t="s">
        <v>605</v>
      </c>
      <c r="C20" s="309" t="s">
        <v>1291</v>
      </c>
      <c r="D20" s="319" t="s">
        <v>1297</v>
      </c>
      <c r="E20" s="319" t="s">
        <v>1301</v>
      </c>
      <c r="F20" s="319" t="s">
        <v>1291</v>
      </c>
      <c r="G20" s="319" t="s">
        <v>1291</v>
      </c>
      <c r="H20" s="319" t="s">
        <v>1301</v>
      </c>
      <c r="I20" s="309" t="s">
        <v>1291</v>
      </c>
      <c r="J20" s="319" t="s">
        <v>1291</v>
      </c>
      <c r="K20" s="45"/>
      <c r="L20" s="356" t="s">
        <v>1226</v>
      </c>
      <c r="M20" s="355" t="s">
        <v>1212</v>
      </c>
      <c r="N20" s="355" t="s">
        <v>1213</v>
      </c>
      <c r="O20" s="208"/>
      <c r="P20" s="14"/>
      <c r="AB20" s="171">
        <v>18</v>
      </c>
      <c r="AC20" s="168"/>
      <c r="AD20" s="168"/>
      <c r="AE20" s="169"/>
      <c r="AF20" s="165">
        <f t="shared" si="0"/>
        <v>0</v>
      </c>
      <c r="AG20" s="166">
        <f t="shared" si="1"/>
        <v>0</v>
      </c>
      <c r="AH20" s="174">
        <f t="shared" si="2"/>
        <v>0</v>
      </c>
      <c r="AI20"/>
      <c r="AJ20"/>
      <c r="AK20"/>
      <c r="AL20"/>
      <c r="AM20"/>
      <c r="AN20"/>
      <c r="AO20"/>
      <c r="AS20" s="106">
        <v>24</v>
      </c>
      <c r="AT20" s="136">
        <v>850</v>
      </c>
      <c r="AU20" s="107" t="s">
        <v>1163</v>
      </c>
      <c r="AV20" s="118" t="s">
        <v>1229</v>
      </c>
      <c r="AW20" s="107" t="s">
        <v>1163</v>
      </c>
      <c r="AZ20" s="168">
        <v>2</v>
      </c>
      <c r="BA20" s="107" t="s">
        <v>1200</v>
      </c>
      <c r="BB20" s="111" t="s">
        <v>1198</v>
      </c>
      <c r="BC20" s="112" t="s">
        <v>1199</v>
      </c>
      <c r="BD20" s="119" t="s">
        <v>1229</v>
      </c>
    </row>
    <row r="21" spans="1:225" s="5" customFormat="1" ht="25.5" customHeight="1">
      <c r="A21" s="214"/>
      <c r="B21" s="40" t="s">
        <v>606</v>
      </c>
      <c r="C21" s="310">
        <v>0.15</v>
      </c>
      <c r="D21" s="310" t="s">
        <v>1362</v>
      </c>
      <c r="E21" s="310">
        <v>0.12</v>
      </c>
      <c r="F21" s="310">
        <v>0.12</v>
      </c>
      <c r="G21" s="310">
        <v>0.12</v>
      </c>
      <c r="H21" s="310">
        <v>0.12</v>
      </c>
      <c r="I21" s="310">
        <v>0.2</v>
      </c>
      <c r="J21" s="310">
        <v>0.12</v>
      </c>
      <c r="K21" s="45"/>
      <c r="L21" s="349" t="s">
        <v>1227</v>
      </c>
      <c r="M21" s="355" t="s">
        <v>1225</v>
      </c>
      <c r="N21" s="355" t="s">
        <v>1212</v>
      </c>
      <c r="O21" s="208"/>
      <c r="P21" s="14"/>
      <c r="AB21" s="170">
        <v>19</v>
      </c>
      <c r="AC21" s="168"/>
      <c r="AD21" s="168"/>
      <c r="AE21" s="169"/>
      <c r="AF21" s="165">
        <f t="shared" si="0"/>
        <v>0</v>
      </c>
      <c r="AG21" s="166">
        <f t="shared" si="1"/>
        <v>0</v>
      </c>
      <c r="AH21" s="174">
        <f t="shared" si="2"/>
        <v>0</v>
      </c>
      <c r="AI21"/>
      <c r="AJ21"/>
      <c r="AK21"/>
      <c r="AL21"/>
      <c r="AM21"/>
      <c r="AN21"/>
      <c r="AO21"/>
      <c r="AS21" s="106">
        <v>28</v>
      </c>
      <c r="AT21" s="136">
        <v>990</v>
      </c>
      <c r="AU21" s="107" t="s">
        <v>1163</v>
      </c>
      <c r="AV21" s="118" t="s">
        <v>1229</v>
      </c>
      <c r="AW21" s="107" t="s">
        <v>1163</v>
      </c>
      <c r="AZ21" s="168">
        <v>4</v>
      </c>
      <c r="BA21" s="107" t="s">
        <v>1202</v>
      </c>
      <c r="BB21" s="113" t="s">
        <v>1203</v>
      </c>
      <c r="BC21" s="113" t="s">
        <v>1204</v>
      </c>
      <c r="BD21" s="120" t="s">
        <v>1230</v>
      </c>
    </row>
    <row r="22" spans="1:225" s="5" customFormat="1" ht="25.5" customHeight="1">
      <c r="A22" s="214"/>
      <c r="B22" s="59" t="s">
        <v>607</v>
      </c>
      <c r="C22" s="311"/>
      <c r="D22" s="311"/>
      <c r="E22" s="311"/>
      <c r="F22" s="311"/>
      <c r="G22" s="311"/>
      <c r="H22" s="311"/>
      <c r="I22" s="311"/>
      <c r="J22" s="311"/>
      <c r="K22" s="45"/>
      <c r="L22" s="70"/>
      <c r="M22" s="53"/>
      <c r="N22" s="53"/>
      <c r="O22" s="208"/>
      <c r="P22" s="14"/>
      <c r="AB22" s="171">
        <v>20</v>
      </c>
      <c r="AC22" s="168"/>
      <c r="AD22" s="168"/>
      <c r="AE22" s="169"/>
      <c r="AF22" s="165">
        <f t="shared" si="0"/>
        <v>0</v>
      </c>
      <c r="AG22" s="166">
        <f t="shared" si="1"/>
        <v>0</v>
      </c>
      <c r="AH22" s="174">
        <f t="shared" si="2"/>
        <v>0</v>
      </c>
      <c r="AI22"/>
      <c r="AJ22"/>
      <c r="AK22"/>
      <c r="AL22"/>
      <c r="AM22"/>
      <c r="AN22"/>
      <c r="AO22"/>
      <c r="AS22" s="106">
        <v>32</v>
      </c>
      <c r="AT22" s="136">
        <v>1130</v>
      </c>
      <c r="AU22" s="107" t="s">
        <v>1163</v>
      </c>
      <c r="AV22" s="118" t="s">
        <v>1229</v>
      </c>
      <c r="AW22" s="107" t="s">
        <v>1163</v>
      </c>
      <c r="AZ22" s="177"/>
    </row>
    <row r="23" spans="1:225" s="5" customFormat="1" ht="25.5" customHeight="1">
      <c r="A23" s="214"/>
      <c r="B23" s="40" t="s">
        <v>608</v>
      </c>
      <c r="C23" s="311"/>
      <c r="D23" s="311"/>
      <c r="E23" s="312"/>
      <c r="F23" s="312"/>
      <c r="G23" s="312"/>
      <c r="H23" s="312"/>
      <c r="I23" s="312"/>
      <c r="J23" s="312"/>
      <c r="K23" s="45"/>
      <c r="L23" s="70"/>
      <c r="M23" s="53"/>
      <c r="N23" s="53"/>
      <c r="O23" s="208"/>
      <c r="P23" s="14"/>
      <c r="AB23" s="170">
        <v>21</v>
      </c>
      <c r="AC23" s="168"/>
      <c r="AD23" s="168"/>
      <c r="AE23" s="169"/>
      <c r="AF23" s="165">
        <f t="shared" si="0"/>
        <v>0</v>
      </c>
      <c r="AG23" s="166">
        <f t="shared" si="1"/>
        <v>0</v>
      </c>
      <c r="AH23" s="174">
        <f t="shared" si="2"/>
        <v>0</v>
      </c>
      <c r="AI23"/>
      <c r="AJ23"/>
      <c r="AK23"/>
      <c r="AL23"/>
      <c r="AM23"/>
      <c r="AN23"/>
      <c r="AO23"/>
      <c r="AS23" s="106">
        <v>36</v>
      </c>
      <c r="AT23" s="136">
        <v>1270</v>
      </c>
      <c r="AU23" s="107" t="s">
        <v>1163</v>
      </c>
      <c r="AV23" s="118" t="s">
        <v>1229</v>
      </c>
      <c r="AW23" s="107" t="s">
        <v>1163</v>
      </c>
      <c r="AZ23" s="177"/>
      <c r="BD23" s="20"/>
      <c r="BE23" s="20"/>
      <c r="BF23" s="20"/>
      <c r="BG23" s="20"/>
      <c r="BH23" s="20"/>
      <c r="BI23" s="20"/>
      <c r="BJ23" s="20"/>
      <c r="BK23" s="20"/>
      <c r="BL23" s="20"/>
    </row>
    <row r="24" spans="1:225" s="8" customFormat="1" ht="25.5" customHeight="1">
      <c r="A24" s="214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208"/>
      <c r="P24" s="14"/>
      <c r="AB24" s="171">
        <v>22</v>
      </c>
      <c r="AC24" s="168"/>
      <c r="AD24" s="168"/>
      <c r="AE24" s="169"/>
      <c r="AF24" s="165">
        <f t="shared" si="0"/>
        <v>0</v>
      </c>
      <c r="AG24" s="166">
        <f t="shared" si="1"/>
        <v>0</v>
      </c>
      <c r="AH24" s="174">
        <f t="shared" si="2"/>
        <v>0</v>
      </c>
      <c r="AI24"/>
      <c r="AJ24"/>
      <c r="AK24"/>
      <c r="AL24"/>
      <c r="AM24"/>
      <c r="AN24"/>
      <c r="AO24"/>
      <c r="AS24" s="106">
        <v>40</v>
      </c>
      <c r="AT24" s="136">
        <v>1410</v>
      </c>
      <c r="AU24" s="107" t="s">
        <v>1163</v>
      </c>
      <c r="AV24" s="118" t="s">
        <v>1229</v>
      </c>
      <c r="AW24" s="107" t="s">
        <v>1163</v>
      </c>
      <c r="AZ24" s="179"/>
      <c r="BD24" s="20"/>
      <c r="BE24" s="20"/>
      <c r="BF24" s="20"/>
      <c r="BG24" s="20"/>
      <c r="BH24" s="20"/>
      <c r="BI24" s="20"/>
      <c r="BJ24" s="20"/>
      <c r="BK24" s="20"/>
      <c r="BL24" s="20"/>
    </row>
    <row r="25" spans="1:225" s="8" customFormat="1" ht="25.5" customHeight="1">
      <c r="A25" s="214"/>
      <c r="B25" s="9" t="s">
        <v>1165</v>
      </c>
      <c r="C25" s="222" t="s">
        <v>518</v>
      </c>
      <c r="D25" s="222" t="s">
        <v>546</v>
      </c>
      <c r="E25" s="222"/>
      <c r="F25" s="222"/>
      <c r="G25" s="222"/>
      <c r="H25" s="222"/>
      <c r="I25" s="222"/>
      <c r="J25" s="222"/>
      <c r="K25" s="45"/>
      <c r="L25" s="70"/>
      <c r="M25" s="53"/>
      <c r="N25" s="53"/>
      <c r="O25" s="208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68"/>
      <c r="AD25" s="168"/>
      <c r="AE25" s="169"/>
      <c r="AF25" s="165">
        <f t="shared" si="0"/>
        <v>0</v>
      </c>
      <c r="AG25" s="166">
        <f t="shared" si="1"/>
        <v>0</v>
      </c>
      <c r="AH25" s="174">
        <f t="shared" si="2"/>
        <v>0</v>
      </c>
      <c r="AI25"/>
      <c r="AJ25"/>
      <c r="AK25"/>
      <c r="AL25"/>
      <c r="AM25"/>
      <c r="AN25"/>
      <c r="AO25"/>
      <c r="AP25" s="20"/>
      <c r="AQ25" s="20"/>
      <c r="AR25" s="20"/>
      <c r="AS25" s="106">
        <v>44</v>
      </c>
      <c r="AT25" s="136">
        <v>1551</v>
      </c>
      <c r="AU25" s="107" t="s">
        <v>1163</v>
      </c>
      <c r="AV25" s="118" t="s">
        <v>1229</v>
      </c>
      <c r="AW25" s="107" t="s">
        <v>1163</v>
      </c>
      <c r="AX25" s="20"/>
      <c r="AY25" s="20"/>
      <c r="AZ25" s="18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</row>
    <row r="26" spans="1:225" s="8" customFormat="1" ht="25.5" customHeight="1">
      <c r="A26" s="214"/>
      <c r="B26" s="9" t="s">
        <v>1166</v>
      </c>
      <c r="C26" s="222" t="s">
        <v>530</v>
      </c>
      <c r="D26" s="222" t="s">
        <v>530</v>
      </c>
      <c r="E26" s="222"/>
      <c r="F26" s="222"/>
      <c r="G26" s="222"/>
      <c r="H26" s="222"/>
      <c r="I26" s="222"/>
      <c r="J26" s="222"/>
      <c r="K26" s="45"/>
      <c r="L26" s="71"/>
      <c r="M26" s="50"/>
      <c r="N26" s="50"/>
      <c r="O26" s="208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68"/>
      <c r="AD26" s="168"/>
      <c r="AE26" s="169"/>
      <c r="AF26" s="165">
        <f t="shared" si="0"/>
        <v>0</v>
      </c>
      <c r="AG26" s="166">
        <f t="shared" si="1"/>
        <v>0</v>
      </c>
      <c r="AH26" s="174">
        <f t="shared" si="2"/>
        <v>0</v>
      </c>
      <c r="AI26"/>
      <c r="AJ26"/>
      <c r="AK26"/>
      <c r="AL26"/>
      <c r="AM26"/>
      <c r="AN26"/>
      <c r="AO26"/>
      <c r="AP26" s="20"/>
      <c r="AQ26" s="20"/>
      <c r="AR26" s="20"/>
      <c r="AS26" s="106">
        <v>48</v>
      </c>
      <c r="AT26" s="136">
        <v>1692</v>
      </c>
      <c r="AU26" s="107" t="s">
        <v>1163</v>
      </c>
      <c r="AV26" s="118" t="s">
        <v>1229</v>
      </c>
      <c r="AW26" s="107" t="s">
        <v>1163</v>
      </c>
      <c r="AX26" s="20"/>
      <c r="AY26" s="20"/>
      <c r="AZ26" s="18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</row>
    <row r="27" spans="1:225" s="8" customFormat="1" ht="25.5" customHeight="1" thickBot="1">
      <c r="A27" s="214"/>
      <c r="B27" s="9" t="s">
        <v>1167</v>
      </c>
      <c r="C27" s="320">
        <v>12</v>
      </c>
      <c r="D27" s="223">
        <v>8</v>
      </c>
      <c r="E27" s="223"/>
      <c r="F27" s="223"/>
      <c r="G27" s="223"/>
      <c r="H27" s="223"/>
      <c r="I27" s="223"/>
      <c r="J27" s="223"/>
      <c r="K27" s="45"/>
      <c r="L27" s="70"/>
      <c r="M27" s="53"/>
      <c r="N27" s="53"/>
      <c r="O27" s="208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68"/>
      <c r="AD27" s="168"/>
      <c r="AE27" s="169"/>
      <c r="AF27" s="165">
        <f t="shared" si="0"/>
        <v>0</v>
      </c>
      <c r="AG27" s="172">
        <f t="shared" si="1"/>
        <v>0</v>
      </c>
      <c r="AH27" s="174">
        <f t="shared" si="2"/>
        <v>0</v>
      </c>
      <c r="AI27"/>
      <c r="AJ27"/>
      <c r="AK27"/>
      <c r="AL27"/>
      <c r="AM27"/>
      <c r="AN27"/>
      <c r="AO27"/>
      <c r="AP27" s="20"/>
      <c r="AQ27" s="20"/>
      <c r="AR27" s="20"/>
      <c r="AS27" s="106">
        <v>4</v>
      </c>
      <c r="AT27" s="136">
        <v>210</v>
      </c>
      <c r="AU27" s="107" t="s">
        <v>1164</v>
      </c>
      <c r="AV27" s="118" t="s">
        <v>1229</v>
      </c>
      <c r="AW27" s="107" t="s">
        <v>1164</v>
      </c>
      <c r="AX27" s="20"/>
      <c r="AY27" s="20"/>
      <c r="AZ27" s="18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</row>
    <row r="28" spans="1:225" s="8" customFormat="1" ht="25.5" customHeight="1" thickBot="1">
      <c r="A28" s="214"/>
      <c r="B28" s="9" t="s">
        <v>1168</v>
      </c>
      <c r="C28" s="223" t="s">
        <v>574</v>
      </c>
      <c r="D28" s="223" t="s">
        <v>572</v>
      </c>
      <c r="E28" s="223"/>
      <c r="F28" s="223"/>
      <c r="G28" s="223"/>
      <c r="H28" s="223"/>
      <c r="I28" s="223"/>
      <c r="J28" s="223"/>
      <c r="K28" s="45"/>
      <c r="L28" s="70"/>
      <c r="M28" s="53"/>
      <c r="N28" s="53"/>
      <c r="O28" s="208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/>
      <c r="AD28"/>
      <c r="AE28" s="173"/>
      <c r="AF28" s="173">
        <f>SUM(AF3:AF27)</f>
        <v>0</v>
      </c>
      <c r="AG28" s="173">
        <f>SUM(AG3:AG27)</f>
        <v>0</v>
      </c>
      <c r="AH28"/>
      <c r="AI28"/>
      <c r="AJ28"/>
      <c r="AK28"/>
      <c r="AL28"/>
      <c r="AM28"/>
      <c r="AN28"/>
      <c r="AO28"/>
      <c r="AP28" s="20"/>
      <c r="AQ28" s="20"/>
      <c r="AR28" s="20"/>
      <c r="AS28" s="106">
        <v>8</v>
      </c>
      <c r="AT28" s="136">
        <v>370</v>
      </c>
      <c r="AU28" s="107" t="s">
        <v>1164</v>
      </c>
      <c r="AV28" s="118" t="s">
        <v>1229</v>
      </c>
      <c r="AW28" s="107" t="s">
        <v>1164</v>
      </c>
      <c r="AX28" s="20"/>
      <c r="AY28" s="20"/>
      <c r="AZ28" s="18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</row>
    <row r="29" spans="1:225" s="8" customFormat="1" ht="25.5" customHeight="1">
      <c r="A29" s="214"/>
      <c r="B29" s="9" t="s">
        <v>611</v>
      </c>
      <c r="C29" s="223" t="s">
        <v>653</v>
      </c>
      <c r="D29" s="223" t="s">
        <v>651</v>
      </c>
      <c r="E29" s="223"/>
      <c r="F29" s="223"/>
      <c r="G29" s="223"/>
      <c r="H29" s="223"/>
      <c r="I29" s="223"/>
      <c r="J29" s="223"/>
      <c r="K29" s="45"/>
      <c r="L29" s="70"/>
      <c r="M29" s="53"/>
      <c r="N29" s="53"/>
      <c r="O29" s="21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 s="20"/>
      <c r="AQ29" s="20"/>
      <c r="AR29" s="20"/>
      <c r="AS29" s="106">
        <v>12</v>
      </c>
      <c r="AT29" s="136">
        <v>560</v>
      </c>
      <c r="AU29" s="107" t="s">
        <v>1164</v>
      </c>
      <c r="AV29" s="118" t="s">
        <v>1229</v>
      </c>
      <c r="AW29" s="107" t="s">
        <v>1164</v>
      </c>
      <c r="AX29" s="20"/>
      <c r="AY29" s="20"/>
      <c r="AZ29" s="18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</row>
    <row r="30" spans="1:225" s="8" customFormat="1" ht="25.5" customHeight="1">
      <c r="A30" s="214"/>
      <c r="B30" s="388" t="s">
        <v>612</v>
      </c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O30" s="21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 s="20"/>
      <c r="AQ30" s="20"/>
      <c r="AR30" s="20"/>
      <c r="AS30" s="106">
        <v>16</v>
      </c>
      <c r="AT30" s="136">
        <v>730</v>
      </c>
      <c r="AU30" s="107" t="s">
        <v>1164</v>
      </c>
      <c r="AV30" s="118" t="s">
        <v>1229</v>
      </c>
      <c r="AW30" s="107" t="s">
        <v>1164</v>
      </c>
      <c r="AX30" s="20"/>
      <c r="AY30" s="20"/>
      <c r="AZ30" s="18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</row>
    <row r="31" spans="1:225" s="8" customFormat="1" ht="25.5" customHeight="1">
      <c r="A31" s="214"/>
      <c r="B31" s="398" t="s">
        <v>508</v>
      </c>
      <c r="C31" s="399"/>
      <c r="D31" s="399"/>
      <c r="E31" s="399"/>
      <c r="F31" s="399"/>
      <c r="G31" s="399"/>
      <c r="H31" s="399"/>
      <c r="I31" s="399"/>
      <c r="J31" s="400"/>
      <c r="K31" s="45"/>
      <c r="O31" s="21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F31"/>
      <c r="AG31"/>
      <c r="AH31"/>
      <c r="AI31"/>
      <c r="AJ31"/>
      <c r="AK31"/>
      <c r="AL31"/>
      <c r="AM31"/>
      <c r="AN31"/>
      <c r="AO31"/>
      <c r="AP31" s="20"/>
      <c r="AQ31" s="20"/>
      <c r="AR31" s="20"/>
      <c r="AS31" s="106">
        <v>20</v>
      </c>
      <c r="AT31" s="136">
        <v>910</v>
      </c>
      <c r="AU31" s="107" t="s">
        <v>1164</v>
      </c>
      <c r="AV31" s="118" t="s">
        <v>1229</v>
      </c>
      <c r="AW31" s="107" t="s">
        <v>1164</v>
      </c>
      <c r="AX31" s="20"/>
      <c r="AY31" s="20"/>
      <c r="AZ31" s="18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</row>
    <row r="32" spans="1:225" s="8" customFormat="1" ht="25.5" customHeight="1">
      <c r="A32" s="214"/>
      <c r="B32" s="391" t="s">
        <v>510</v>
      </c>
      <c r="C32" s="401"/>
      <c r="D32" s="401"/>
      <c r="E32" s="401"/>
      <c r="F32" s="401"/>
      <c r="G32" s="401"/>
      <c r="H32" s="401"/>
      <c r="I32" s="401"/>
      <c r="J32" s="402"/>
      <c r="K32" s="45"/>
      <c r="O32" s="21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F32"/>
      <c r="AG32"/>
      <c r="AH32"/>
      <c r="AI32"/>
      <c r="AJ32"/>
      <c r="AK32"/>
      <c r="AL32"/>
      <c r="AM32"/>
      <c r="AN32"/>
      <c r="AO32"/>
      <c r="AP32" s="20"/>
      <c r="AQ32" s="20"/>
      <c r="AR32" s="20"/>
      <c r="AS32" s="106">
        <v>24</v>
      </c>
      <c r="AT32" s="136">
        <v>1110</v>
      </c>
      <c r="AU32" s="107" t="s">
        <v>1164</v>
      </c>
      <c r="AV32" s="118" t="s">
        <v>1229</v>
      </c>
      <c r="AW32" s="107" t="s">
        <v>1164</v>
      </c>
      <c r="AX32" s="20"/>
      <c r="AY32" s="20"/>
      <c r="AZ32" s="18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</row>
    <row r="33" spans="1:225" s="8" customFormat="1" ht="25.5" customHeight="1">
      <c r="A33" s="214"/>
      <c r="B33" s="391" t="s">
        <v>1359</v>
      </c>
      <c r="C33" s="401"/>
      <c r="D33" s="401"/>
      <c r="E33" s="401"/>
      <c r="F33" s="401"/>
      <c r="G33" s="401"/>
      <c r="H33" s="401"/>
      <c r="I33" s="401"/>
      <c r="J33" s="402"/>
      <c r="K33" s="45"/>
      <c r="O33" s="21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 s="20"/>
      <c r="AQ33" s="20"/>
      <c r="AR33" s="20"/>
      <c r="AS33" s="106">
        <v>28</v>
      </c>
      <c r="AT33" s="136">
        <v>1270</v>
      </c>
      <c r="AU33" s="107" t="s">
        <v>1164</v>
      </c>
      <c r="AV33" s="118" t="s">
        <v>1229</v>
      </c>
      <c r="AW33" s="107" t="s">
        <v>1164</v>
      </c>
      <c r="AX33" s="20"/>
      <c r="AY33" s="20"/>
      <c r="AZ33" s="18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</row>
    <row r="34" spans="1:225" s="8" customFormat="1" ht="25.5" customHeight="1" thickBot="1">
      <c r="A34" s="215"/>
      <c r="B34" s="391" t="s">
        <v>1360</v>
      </c>
      <c r="C34" s="392"/>
      <c r="D34" s="392"/>
      <c r="E34" s="392"/>
      <c r="F34" s="392"/>
      <c r="G34" s="392"/>
      <c r="H34" s="392"/>
      <c r="I34" s="392"/>
      <c r="J34" s="393"/>
      <c r="K34" s="45"/>
      <c r="O34" s="21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 s="20"/>
      <c r="AQ34" s="20"/>
      <c r="AR34" s="20"/>
      <c r="AS34" s="106">
        <v>32</v>
      </c>
      <c r="AT34" s="136">
        <v>1461</v>
      </c>
      <c r="AU34" s="107" t="s">
        <v>1164</v>
      </c>
      <c r="AV34" s="118" t="s">
        <v>1229</v>
      </c>
      <c r="AW34" s="107" t="s">
        <v>1164</v>
      </c>
      <c r="AX34" s="20"/>
      <c r="AY34" s="20"/>
      <c r="AZ34" s="18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</row>
    <row r="35" spans="1:225" s="5" customFormat="1" ht="25.5" customHeight="1" thickTop="1" thickBot="1">
      <c r="A35" s="213"/>
      <c r="B35" s="74" t="s">
        <v>603</v>
      </c>
      <c r="C35" s="142">
        <f t="shared" ref="C35:J35" si="4">C18</f>
        <v>10000</v>
      </c>
      <c r="D35" s="142">
        <f t="shared" si="4"/>
        <v>15000</v>
      </c>
      <c r="E35" s="142">
        <f t="shared" si="4"/>
        <v>38000</v>
      </c>
      <c r="F35" s="142">
        <f t="shared" si="4"/>
        <v>22000</v>
      </c>
      <c r="G35" s="142">
        <f t="shared" si="4"/>
        <v>35000</v>
      </c>
      <c r="H35" s="142">
        <f t="shared" si="4"/>
        <v>38000</v>
      </c>
      <c r="I35" s="142">
        <f t="shared" si="4"/>
        <v>10000</v>
      </c>
      <c r="J35" s="142">
        <f t="shared" si="4"/>
        <v>22000</v>
      </c>
      <c r="K35" s="45"/>
      <c r="O35" s="54"/>
      <c r="AC35"/>
      <c r="AD35"/>
      <c r="AE35"/>
      <c r="AF35"/>
      <c r="AG35"/>
      <c r="AH35"/>
      <c r="AI35"/>
      <c r="AJ35"/>
      <c r="AK35"/>
      <c r="AL35"/>
      <c r="AM35"/>
      <c r="AN35"/>
      <c r="AO35"/>
      <c r="AS35" s="106">
        <v>36</v>
      </c>
      <c r="AT35" s="136">
        <v>1631</v>
      </c>
      <c r="AU35" s="107" t="s">
        <v>1164</v>
      </c>
      <c r="AV35" s="118" t="s">
        <v>1229</v>
      </c>
      <c r="AW35" s="107" t="s">
        <v>1164</v>
      </c>
      <c r="AZ35" s="177"/>
    </row>
    <row r="36" spans="1:225" s="5" customFormat="1" ht="25.5" customHeight="1" thickTop="1">
      <c r="A36" s="214"/>
      <c r="B36" s="72" t="s">
        <v>614</v>
      </c>
      <c r="C36" s="143">
        <f>IF(ROYALTY_ESPECIE_01&lt;&gt;0,ROYALTY_ESPECIE_01*VLOOKUP(Moeda_01,$P$3:$Q$8,2,FALSE),ROYALTY_PERCENTUAL_01*PrecoMKT_01)</f>
        <v>1800</v>
      </c>
      <c r="D36" s="143">
        <f>IF(ROYALTY_ESPECIE_02&lt;&gt;0,ROYALTY_ESPECIE_02*VLOOKUP(Moeda_02,$P$3:$Q$8,2,FALSE),ROYALTY_PERCENTUAL_02*PrecoMKT_02)</f>
        <v>340</v>
      </c>
      <c r="E36" s="143">
        <f>IF(ROYALTY_ESPECIE_03&lt;&gt;0,ROYALTY_ESPECIE_03*VLOOKUP(Moeda_03,$P$3:$Q$8,2,FALSE),ROYALTY_PERCENTUAL_03*PrecoMKT_03)</f>
        <v>4800</v>
      </c>
      <c r="F36" s="143">
        <f>IF(ROYALTY_ESPECIE_04&lt;&gt;0,ROYALTY_ESPECIE_04*VLOOKUP(Moeda_04,$P$3:$Q$8,2,FALSE),ROYALTY_PERCENTUAL_04*PrecoMKT_04)</f>
        <v>0</v>
      </c>
      <c r="G36" s="143">
        <f>IF(ROYALTY_ESPECIE_05&lt;&gt;0,ROYALTY_ESPECIE_05*VLOOKUP(Moeda_05,$P$3:$Q$8,2,FALSE),ROYALTY_PERCENTUAL_05*PrecoMKT_05)</f>
        <v>0</v>
      </c>
      <c r="H36" s="143">
        <f>IF(ROYALTY_ESPECIE_06&lt;&gt;0,ROYALTY_ESPECIE_06*VLOOKUP(Moeda_06,$P$3:$Q$8,2,FALSE),ROYALTY_PERCENTUAL_06*PrecoMKT_06)</f>
        <v>0</v>
      </c>
      <c r="I36" s="143">
        <f>IF(ROYALTY_ESPECIE_07&lt;&gt;0,ROYALTY_ESPECIE_07*VLOOKUP(Moeda_07,$P$3:$Q$8,2,FALSE),ROYALTY_PERCENTUAL_07*PrecoMKT_07)</f>
        <v>0</v>
      </c>
      <c r="J36" s="143">
        <f>IF(ROYALTY_ESPECIE_08&lt;&gt;0,ROYALTY_ESPECIE_08*VLOOKUP(Moeda_08,$P$3:$Q$8,2,FALSE),ROYALTY_PERCENTUAL_08*PrecoMKT_08)</f>
        <v>0</v>
      </c>
      <c r="K36" s="45"/>
      <c r="O36" s="54"/>
      <c r="AC36"/>
      <c r="AD36"/>
      <c r="AE36"/>
      <c r="AF36"/>
      <c r="AG36"/>
      <c r="AH36"/>
      <c r="AI36"/>
      <c r="AJ36"/>
      <c r="AK36"/>
      <c r="AL36"/>
      <c r="AM36"/>
      <c r="AN36"/>
      <c r="AO36"/>
      <c r="AS36" s="106">
        <v>40</v>
      </c>
      <c r="AT36" s="136">
        <v>1810</v>
      </c>
      <c r="AU36" s="107" t="s">
        <v>1164</v>
      </c>
      <c r="AV36" s="118" t="s">
        <v>1229</v>
      </c>
      <c r="AW36" s="107" t="s">
        <v>1164</v>
      </c>
      <c r="AZ36" s="177"/>
    </row>
    <row r="37" spans="1:225" s="5" customFormat="1" ht="25.5" customHeight="1">
      <c r="A37" s="214"/>
      <c r="B37" s="10" t="s">
        <v>615</v>
      </c>
      <c r="C37" s="144" t="s">
        <v>1131</v>
      </c>
      <c r="D37" s="144" t="s">
        <v>1131</v>
      </c>
      <c r="E37" s="144" t="s">
        <v>1131</v>
      </c>
      <c r="F37" s="144" t="s">
        <v>1131</v>
      </c>
      <c r="G37" s="144" t="s">
        <v>1131</v>
      </c>
      <c r="H37" s="144" t="s">
        <v>1131</v>
      </c>
      <c r="I37" s="144" t="s">
        <v>1131</v>
      </c>
      <c r="J37" s="144" t="s">
        <v>1131</v>
      </c>
      <c r="K37" s="45"/>
      <c r="O37" s="54"/>
      <c r="AC37"/>
      <c r="AD37"/>
      <c r="AE37"/>
      <c r="AF37"/>
      <c r="AG37"/>
      <c r="AH37"/>
      <c r="AI37"/>
      <c r="AJ37"/>
      <c r="AK37"/>
      <c r="AL37"/>
      <c r="AM37"/>
      <c r="AN37"/>
      <c r="AO37"/>
      <c r="AS37" s="106">
        <v>44</v>
      </c>
      <c r="AT37" s="136">
        <v>2011</v>
      </c>
      <c r="AU37" s="107" t="s">
        <v>1164</v>
      </c>
      <c r="AV37" s="118" t="s">
        <v>1229</v>
      </c>
      <c r="AW37" s="107" t="s">
        <v>1164</v>
      </c>
      <c r="AZ37" s="177"/>
    </row>
    <row r="38" spans="1:225" s="5" customFormat="1" ht="25.5" customHeight="1">
      <c r="A38" s="214"/>
      <c r="B38" s="10" t="s">
        <v>583</v>
      </c>
      <c r="C38" s="145" t="s">
        <v>1131</v>
      </c>
      <c r="D38" s="145" t="s">
        <v>1131</v>
      </c>
      <c r="E38" s="145" t="s">
        <v>1131</v>
      </c>
      <c r="F38" s="145" t="s">
        <v>1131</v>
      </c>
      <c r="G38" s="145" t="s">
        <v>1131</v>
      </c>
      <c r="H38" s="145" t="s">
        <v>1131</v>
      </c>
      <c r="I38" s="145" t="s">
        <v>1131</v>
      </c>
      <c r="J38" s="145" t="s">
        <v>1131</v>
      </c>
      <c r="K38" s="45"/>
      <c r="O38" s="54"/>
      <c r="AC38"/>
      <c r="AD38"/>
      <c r="AE38"/>
      <c r="AF38"/>
      <c r="AG38"/>
      <c r="AH38"/>
      <c r="AI38"/>
      <c r="AJ38"/>
      <c r="AK38"/>
      <c r="AL38"/>
      <c r="AM38"/>
      <c r="AN38"/>
      <c r="AO38"/>
      <c r="AS38" s="106">
        <v>48</v>
      </c>
      <c r="AT38" s="136">
        <v>2210</v>
      </c>
      <c r="AU38" s="107" t="s">
        <v>1164</v>
      </c>
      <c r="AV38" s="118" t="s">
        <v>1229</v>
      </c>
      <c r="AW38" s="107" t="s">
        <v>1164</v>
      </c>
      <c r="AZ38" s="177"/>
    </row>
    <row r="39" spans="1:225" s="5" customFormat="1" ht="25.5" customHeight="1">
      <c r="A39" s="214"/>
      <c r="B39" s="10" t="s">
        <v>584</v>
      </c>
      <c r="C39" s="145" t="s">
        <v>1131</v>
      </c>
      <c r="D39" s="145" t="s">
        <v>1131</v>
      </c>
      <c r="E39" s="145" t="s">
        <v>1131</v>
      </c>
      <c r="F39" s="145" t="s">
        <v>1131</v>
      </c>
      <c r="G39" s="145" t="s">
        <v>1131</v>
      </c>
      <c r="H39" s="145" t="s">
        <v>1131</v>
      </c>
      <c r="I39" s="145" t="s">
        <v>1131</v>
      </c>
      <c r="J39" s="145" t="s">
        <v>1131</v>
      </c>
      <c r="K39" s="45"/>
      <c r="O39" s="54"/>
      <c r="AC39"/>
      <c r="AD39"/>
      <c r="AE39"/>
      <c r="AF39"/>
      <c r="AG39"/>
      <c r="AH39"/>
      <c r="AI39"/>
      <c r="AJ39"/>
      <c r="AK39"/>
      <c r="AL39"/>
      <c r="AM39"/>
      <c r="AN39"/>
      <c r="AO39"/>
      <c r="AS39" s="205" t="s">
        <v>1312</v>
      </c>
      <c r="AT39" s="137">
        <v>40</v>
      </c>
      <c r="AU39" s="109" t="s">
        <v>1162</v>
      </c>
      <c r="AV39" s="120" t="s">
        <v>1230</v>
      </c>
      <c r="AW39" s="109" t="s">
        <v>1313</v>
      </c>
      <c r="AZ39" s="177"/>
    </row>
    <row r="40" spans="1:225" s="5" customFormat="1" ht="25.5" customHeight="1">
      <c r="A40" s="214"/>
      <c r="B40" s="11" t="s">
        <v>585</v>
      </c>
      <c r="C40" s="145" t="s">
        <v>1131</v>
      </c>
      <c r="D40" s="145" t="s">
        <v>1131</v>
      </c>
      <c r="E40" s="145" t="s">
        <v>1131</v>
      </c>
      <c r="F40" s="145" t="s">
        <v>1131</v>
      </c>
      <c r="G40" s="145" t="s">
        <v>1131</v>
      </c>
      <c r="H40" s="145" t="s">
        <v>1131</v>
      </c>
      <c r="I40" s="145" t="s">
        <v>1131</v>
      </c>
      <c r="J40" s="145" t="s">
        <v>1131</v>
      </c>
      <c r="K40" s="45"/>
      <c r="O40" s="54"/>
      <c r="AC40"/>
      <c r="AD40"/>
      <c r="AE40"/>
      <c r="AF40"/>
      <c r="AG40"/>
      <c r="AH40"/>
      <c r="AI40"/>
      <c r="AJ40"/>
      <c r="AK40"/>
      <c r="AL40"/>
      <c r="AM40"/>
      <c r="AN40"/>
      <c r="AO40"/>
      <c r="AS40" s="205" t="s">
        <v>1312</v>
      </c>
      <c r="AT40" s="137">
        <v>35</v>
      </c>
      <c r="AU40" s="109" t="s">
        <v>1163</v>
      </c>
      <c r="AV40" s="120" t="s">
        <v>1230</v>
      </c>
      <c r="AW40" s="109" t="s">
        <v>1313</v>
      </c>
      <c r="AZ40" s="177"/>
    </row>
    <row r="41" spans="1:225" s="5" customFormat="1" ht="25.5" customHeight="1">
      <c r="A41" s="214"/>
      <c r="B41" s="11" t="s">
        <v>586</v>
      </c>
      <c r="C41" s="145" t="s">
        <v>1131</v>
      </c>
      <c r="D41" s="145" t="s">
        <v>1131</v>
      </c>
      <c r="E41" s="145" t="s">
        <v>1131</v>
      </c>
      <c r="F41" s="145" t="s">
        <v>1131</v>
      </c>
      <c r="G41" s="145" t="s">
        <v>1131</v>
      </c>
      <c r="H41" s="145" t="s">
        <v>1131</v>
      </c>
      <c r="I41" s="145" t="s">
        <v>1131</v>
      </c>
      <c r="J41" s="145" t="s">
        <v>1131</v>
      </c>
      <c r="K41" s="45"/>
      <c r="O41" s="54"/>
      <c r="AC41"/>
      <c r="AD41"/>
      <c r="AE41"/>
      <c r="AF41"/>
      <c r="AG41"/>
      <c r="AH41"/>
      <c r="AI41"/>
      <c r="AJ41"/>
      <c r="AK41"/>
      <c r="AL41"/>
      <c r="AM41"/>
      <c r="AN41"/>
      <c r="AO41"/>
      <c r="AS41" s="205" t="s">
        <v>1312</v>
      </c>
      <c r="AT41" s="137">
        <v>50</v>
      </c>
      <c r="AU41" s="109" t="s">
        <v>1164</v>
      </c>
      <c r="AV41" s="120" t="s">
        <v>1230</v>
      </c>
      <c r="AW41" s="109" t="s">
        <v>1313</v>
      </c>
      <c r="AZ41" s="177"/>
    </row>
    <row r="42" spans="1:225" s="5" customFormat="1" ht="25.5" customHeight="1">
      <c r="A42" s="214"/>
      <c r="B42" s="10" t="s">
        <v>616</v>
      </c>
      <c r="C42" s="145" t="s">
        <v>1131</v>
      </c>
      <c r="D42" s="145" t="s">
        <v>1131</v>
      </c>
      <c r="E42" s="145" t="s">
        <v>1131</v>
      </c>
      <c r="F42" s="145" t="s">
        <v>1131</v>
      </c>
      <c r="G42" s="145" t="s">
        <v>1131</v>
      </c>
      <c r="H42" s="145" t="s">
        <v>1131</v>
      </c>
      <c r="I42" s="145" t="s">
        <v>1131</v>
      </c>
      <c r="J42" s="145" t="s">
        <v>1131</v>
      </c>
      <c r="K42" s="45"/>
      <c r="O42" s="54"/>
      <c r="AC42"/>
      <c r="AD42"/>
      <c r="AE42"/>
      <c r="AF42"/>
      <c r="AG42"/>
      <c r="AH42"/>
      <c r="AI42"/>
      <c r="AJ42"/>
      <c r="AK42"/>
      <c r="AL42"/>
      <c r="AM42"/>
      <c r="AN42"/>
      <c r="AO42"/>
      <c r="AS42" s="108">
        <v>1</v>
      </c>
      <c r="AT42" s="137">
        <v>150</v>
      </c>
      <c r="AU42" s="110" t="s">
        <v>1264</v>
      </c>
      <c r="AV42" s="120" t="s">
        <v>1230</v>
      </c>
      <c r="AW42" s="110" t="s">
        <v>1314</v>
      </c>
      <c r="AZ42" s="177"/>
    </row>
    <row r="43" spans="1:225" s="5" customFormat="1" ht="25.5" customHeight="1">
      <c r="A43" s="214"/>
      <c r="B43" s="10" t="s">
        <v>1125</v>
      </c>
      <c r="C43" s="145" t="s">
        <v>1131</v>
      </c>
      <c r="D43" s="145" t="s">
        <v>1131</v>
      </c>
      <c r="E43" s="145" t="s">
        <v>1131</v>
      </c>
      <c r="F43" s="145" t="s">
        <v>1131</v>
      </c>
      <c r="G43" s="145" t="s">
        <v>1131</v>
      </c>
      <c r="H43" s="145" t="s">
        <v>1131</v>
      </c>
      <c r="I43" s="145" t="s">
        <v>1131</v>
      </c>
      <c r="J43" s="145" t="s">
        <v>1131</v>
      </c>
      <c r="K43" s="45"/>
      <c r="O43" s="54"/>
      <c r="AC43"/>
      <c r="AD43"/>
      <c r="AE43"/>
      <c r="AF43"/>
      <c r="AG43"/>
      <c r="AH43"/>
      <c r="AI43"/>
      <c r="AJ43"/>
      <c r="AK43"/>
      <c r="AL43"/>
      <c r="AM43"/>
      <c r="AN43"/>
      <c r="AO43"/>
      <c r="AS43" s="108">
        <v>1</v>
      </c>
      <c r="AT43" s="137">
        <v>180</v>
      </c>
      <c r="AU43" s="110" t="s">
        <v>1265</v>
      </c>
      <c r="AV43" s="120" t="s">
        <v>1230</v>
      </c>
      <c r="AW43" s="110" t="s">
        <v>526</v>
      </c>
      <c r="AZ43" s="177"/>
    </row>
    <row r="44" spans="1:225" s="5" customFormat="1" ht="25.5" customHeight="1">
      <c r="A44" s="214"/>
      <c r="B44" s="10" t="s">
        <v>1126</v>
      </c>
      <c r="C44" s="145" t="s">
        <v>1131</v>
      </c>
      <c r="D44" s="145" t="s">
        <v>1131</v>
      </c>
      <c r="E44" s="145" t="s">
        <v>1131</v>
      </c>
      <c r="F44" s="145" t="s">
        <v>1131</v>
      </c>
      <c r="G44" s="145" t="s">
        <v>1131</v>
      </c>
      <c r="H44" s="145" t="s">
        <v>1131</v>
      </c>
      <c r="I44" s="145" t="s">
        <v>1131</v>
      </c>
      <c r="J44" s="145" t="s">
        <v>1131</v>
      </c>
      <c r="K44" s="45"/>
      <c r="O44" s="54"/>
      <c r="AC44"/>
      <c r="AD44"/>
      <c r="AE44"/>
      <c r="AF44"/>
      <c r="AG44"/>
      <c r="AH44"/>
      <c r="AI44"/>
      <c r="AJ44"/>
      <c r="AK44"/>
      <c r="AL44"/>
      <c r="AM44"/>
      <c r="AN44"/>
      <c r="AO44"/>
      <c r="AS44" s="108">
        <v>1</v>
      </c>
      <c r="AT44" s="137">
        <v>800</v>
      </c>
      <c r="AU44" s="110" t="s">
        <v>1266</v>
      </c>
      <c r="AV44" s="120" t="s">
        <v>1230</v>
      </c>
      <c r="AW44" s="110" t="s">
        <v>526</v>
      </c>
      <c r="AZ44" s="177"/>
    </row>
    <row r="45" spans="1:225" s="5" customFormat="1" ht="25.5" customHeight="1">
      <c r="A45" s="214"/>
      <c r="B45" s="10" t="s">
        <v>1124</v>
      </c>
      <c r="C45" s="145" t="s">
        <v>1131</v>
      </c>
      <c r="D45" s="145" t="s">
        <v>1131</v>
      </c>
      <c r="E45" s="145" t="s">
        <v>1131</v>
      </c>
      <c r="F45" s="145" t="s">
        <v>1131</v>
      </c>
      <c r="G45" s="145" t="s">
        <v>1131</v>
      </c>
      <c r="H45" s="145" t="s">
        <v>1131</v>
      </c>
      <c r="I45" s="145" t="s">
        <v>1131</v>
      </c>
      <c r="J45" s="145" t="s">
        <v>1131</v>
      </c>
      <c r="K45" s="45"/>
      <c r="O45" s="54"/>
      <c r="AC45"/>
      <c r="AD45"/>
      <c r="AE45"/>
      <c r="AF45"/>
      <c r="AG45"/>
      <c r="AH45"/>
      <c r="AI45"/>
      <c r="AJ45"/>
      <c r="AK45"/>
      <c r="AL45"/>
      <c r="AM45"/>
      <c r="AN45"/>
      <c r="AO45"/>
      <c r="AS45" s="108">
        <v>1</v>
      </c>
      <c r="AT45" s="137">
        <v>200</v>
      </c>
      <c r="AU45" s="110" t="s">
        <v>1267</v>
      </c>
      <c r="AV45" s="120" t="s">
        <v>1230</v>
      </c>
      <c r="AW45" s="110" t="s">
        <v>1315</v>
      </c>
      <c r="AZ45" s="177"/>
    </row>
    <row r="46" spans="1:225" s="5" customFormat="1" ht="25.5" customHeight="1">
      <c r="A46" s="214"/>
      <c r="B46" s="10" t="s">
        <v>618</v>
      </c>
      <c r="C46" s="145" t="s">
        <v>1131</v>
      </c>
      <c r="D46" s="145" t="s">
        <v>1131</v>
      </c>
      <c r="E46" s="145" t="s">
        <v>1131</v>
      </c>
      <c r="F46" s="145" t="s">
        <v>1131</v>
      </c>
      <c r="G46" s="145" t="s">
        <v>1131</v>
      </c>
      <c r="H46" s="145" t="s">
        <v>1131</v>
      </c>
      <c r="I46" s="145" t="s">
        <v>1131</v>
      </c>
      <c r="J46" s="145" t="s">
        <v>1131</v>
      </c>
      <c r="K46" s="45"/>
      <c r="O46" s="54"/>
      <c r="AC46"/>
      <c r="AD46"/>
      <c r="AE46"/>
      <c r="AF46"/>
      <c r="AG46"/>
      <c r="AH46"/>
      <c r="AI46"/>
      <c r="AJ46"/>
      <c r="AK46"/>
      <c r="AL46"/>
      <c r="AM46"/>
      <c r="AN46"/>
      <c r="AO46"/>
      <c r="AS46" s="108">
        <v>1</v>
      </c>
      <c r="AT46" s="137">
        <v>1000</v>
      </c>
      <c r="AU46" s="110" t="s">
        <v>1268</v>
      </c>
      <c r="AV46" s="120" t="s">
        <v>1230</v>
      </c>
      <c r="AW46" s="110" t="s">
        <v>1315</v>
      </c>
      <c r="AZ46" s="177"/>
    </row>
    <row r="47" spans="1:225" s="5" customFormat="1" ht="25.5" customHeight="1">
      <c r="A47" s="214"/>
      <c r="B47" s="10" t="s">
        <v>619</v>
      </c>
      <c r="C47" s="145" t="s">
        <v>1131</v>
      </c>
      <c r="D47" s="145" t="s">
        <v>1131</v>
      </c>
      <c r="E47" s="145" t="s">
        <v>1131</v>
      </c>
      <c r="F47" s="145" t="s">
        <v>1131</v>
      </c>
      <c r="G47" s="145" t="s">
        <v>1131</v>
      </c>
      <c r="H47" s="145" t="s">
        <v>1131</v>
      </c>
      <c r="I47" s="145" t="s">
        <v>1131</v>
      </c>
      <c r="J47" s="145" t="s">
        <v>1131</v>
      </c>
      <c r="K47" s="45"/>
      <c r="O47" s="54"/>
      <c r="AC47"/>
      <c r="AD47"/>
      <c r="AE47"/>
      <c r="AF47"/>
      <c r="AG47"/>
      <c r="AH47"/>
      <c r="AI47"/>
      <c r="AJ47"/>
      <c r="AK47"/>
      <c r="AL47"/>
      <c r="AM47"/>
      <c r="AN47"/>
      <c r="AO47"/>
      <c r="AS47" s="108">
        <v>1</v>
      </c>
      <c r="AT47" s="137">
        <v>200</v>
      </c>
      <c r="AU47" s="110" t="s">
        <v>1269</v>
      </c>
      <c r="AV47" s="120" t="s">
        <v>1230</v>
      </c>
      <c r="AW47" s="110" t="s">
        <v>1316</v>
      </c>
      <c r="AZ47" s="177"/>
    </row>
    <row r="48" spans="1:225" s="5" customFormat="1" ht="25.5" customHeight="1">
      <c r="A48" s="214"/>
      <c r="B48" s="10" t="s">
        <v>620</v>
      </c>
      <c r="C48" s="145" t="s">
        <v>1131</v>
      </c>
      <c r="D48" s="145" t="s">
        <v>1131</v>
      </c>
      <c r="E48" s="145" t="s">
        <v>1131</v>
      </c>
      <c r="F48" s="145" t="s">
        <v>1131</v>
      </c>
      <c r="G48" s="145" t="s">
        <v>1131</v>
      </c>
      <c r="H48" s="145" t="s">
        <v>1131</v>
      </c>
      <c r="I48" s="145" t="s">
        <v>1131</v>
      </c>
      <c r="J48" s="145" t="s">
        <v>1131</v>
      </c>
      <c r="K48" s="45"/>
      <c r="O48" s="54"/>
      <c r="AC48"/>
      <c r="AD48"/>
      <c r="AE48"/>
      <c r="AF48"/>
      <c r="AG48"/>
      <c r="AH48"/>
      <c r="AI48"/>
      <c r="AJ48"/>
      <c r="AK48"/>
      <c r="AL48"/>
      <c r="AM48"/>
      <c r="AN48"/>
      <c r="AO48"/>
      <c r="AS48" s="108">
        <v>1</v>
      </c>
      <c r="AT48" s="137">
        <v>1000</v>
      </c>
      <c r="AU48" s="110" t="s">
        <v>1270</v>
      </c>
      <c r="AV48" s="120" t="s">
        <v>1230</v>
      </c>
      <c r="AW48" s="110" t="s">
        <v>1316</v>
      </c>
      <c r="AZ48" s="177"/>
    </row>
    <row r="49" spans="1:52" s="5" customFormat="1" ht="25.5" customHeight="1">
      <c r="A49" s="214"/>
      <c r="B49" s="10" t="s">
        <v>617</v>
      </c>
      <c r="C49" s="145" t="s">
        <v>1131</v>
      </c>
      <c r="D49" s="145" t="s">
        <v>1131</v>
      </c>
      <c r="E49" s="145" t="s">
        <v>1131</v>
      </c>
      <c r="F49" s="145" t="s">
        <v>1131</v>
      </c>
      <c r="G49" s="145" t="s">
        <v>1131</v>
      </c>
      <c r="H49" s="145" t="s">
        <v>1131</v>
      </c>
      <c r="I49" s="145" t="s">
        <v>1131</v>
      </c>
      <c r="J49" s="145" t="s">
        <v>1131</v>
      </c>
      <c r="K49" s="45"/>
      <c r="O49" s="54"/>
      <c r="AC49"/>
      <c r="AD49"/>
      <c r="AE49"/>
      <c r="AF49"/>
      <c r="AG49"/>
      <c r="AH49"/>
      <c r="AI49"/>
      <c r="AJ49"/>
      <c r="AK49"/>
      <c r="AL49"/>
      <c r="AM49"/>
      <c r="AN49"/>
      <c r="AO49"/>
      <c r="AS49" s="206" t="s">
        <v>1318</v>
      </c>
      <c r="AT49" s="137">
        <v>13</v>
      </c>
      <c r="AU49" s="110" t="s">
        <v>1271</v>
      </c>
      <c r="AV49" s="120" t="s">
        <v>1230</v>
      </c>
      <c r="AW49" s="110" t="s">
        <v>1317</v>
      </c>
      <c r="AZ49" s="177"/>
    </row>
    <row r="50" spans="1:52" s="5" customFormat="1" ht="25.5" customHeight="1">
      <c r="A50" s="214"/>
      <c r="B50" s="10" t="s">
        <v>621</v>
      </c>
      <c r="C50" s="145" t="s">
        <v>1131</v>
      </c>
      <c r="D50" s="145" t="s">
        <v>1131</v>
      </c>
      <c r="E50" s="145" t="s">
        <v>1131</v>
      </c>
      <c r="F50" s="145" t="s">
        <v>1131</v>
      </c>
      <c r="G50" s="145" t="s">
        <v>1131</v>
      </c>
      <c r="H50" s="145" t="s">
        <v>1131</v>
      </c>
      <c r="I50" s="145" t="s">
        <v>1131</v>
      </c>
      <c r="J50" s="145" t="s">
        <v>1131</v>
      </c>
      <c r="K50" s="45"/>
      <c r="O50" s="54"/>
      <c r="AC50"/>
      <c r="AD50"/>
      <c r="AE50"/>
      <c r="AF50"/>
      <c r="AG50"/>
      <c r="AH50"/>
      <c r="AI50"/>
      <c r="AJ50"/>
      <c r="AK50"/>
      <c r="AL50"/>
      <c r="AM50"/>
      <c r="AN50"/>
      <c r="AO50"/>
      <c r="AS50" s="206" t="s">
        <v>1318</v>
      </c>
      <c r="AT50" s="137">
        <v>18</v>
      </c>
      <c r="AU50" s="110" t="s">
        <v>1272</v>
      </c>
      <c r="AV50" s="120" t="s">
        <v>1230</v>
      </c>
      <c r="AW50" s="110" t="s">
        <v>1317</v>
      </c>
      <c r="AZ50" s="177"/>
    </row>
    <row r="51" spans="1:52" s="5" customFormat="1" ht="25.5" customHeight="1">
      <c r="A51" s="214"/>
      <c r="B51" s="10" t="s">
        <v>1181</v>
      </c>
      <c r="C51" s="145" t="s">
        <v>1131</v>
      </c>
      <c r="D51" s="145" t="s">
        <v>1131</v>
      </c>
      <c r="E51" s="145" t="s">
        <v>1131</v>
      </c>
      <c r="F51" s="145" t="s">
        <v>1131</v>
      </c>
      <c r="G51" s="145" t="s">
        <v>1131</v>
      </c>
      <c r="H51" s="145" t="s">
        <v>1131</v>
      </c>
      <c r="I51" s="145" t="s">
        <v>1131</v>
      </c>
      <c r="J51" s="145" t="s">
        <v>1131</v>
      </c>
      <c r="K51" s="45"/>
      <c r="O51" s="54"/>
      <c r="AC51"/>
      <c r="AD51"/>
      <c r="AE51"/>
      <c r="AF51"/>
      <c r="AG51"/>
      <c r="AH51"/>
      <c r="AI51"/>
      <c r="AJ51"/>
      <c r="AK51"/>
      <c r="AL51"/>
      <c r="AM51"/>
      <c r="AN51"/>
      <c r="AO51"/>
      <c r="AZ51" s="177"/>
    </row>
    <row r="52" spans="1:52" s="5" customFormat="1" ht="25.5" customHeight="1">
      <c r="A52" s="214"/>
      <c r="B52" s="10" t="s">
        <v>1182</v>
      </c>
      <c r="C52" s="145" t="s">
        <v>1131</v>
      </c>
      <c r="D52" s="145" t="s">
        <v>1131</v>
      </c>
      <c r="E52" s="145" t="s">
        <v>1131</v>
      </c>
      <c r="F52" s="145" t="s">
        <v>1131</v>
      </c>
      <c r="G52" s="145" t="s">
        <v>1131</v>
      </c>
      <c r="H52" s="145" t="s">
        <v>1131</v>
      </c>
      <c r="I52" s="145" t="s">
        <v>1131</v>
      </c>
      <c r="J52" s="145" t="s">
        <v>1131</v>
      </c>
      <c r="K52" s="45"/>
      <c r="O52" s="54"/>
      <c r="AC52"/>
      <c r="AD52"/>
      <c r="AE52"/>
      <c r="AF52"/>
      <c r="AG52"/>
      <c r="AH52"/>
      <c r="AI52"/>
      <c r="AJ52"/>
      <c r="AK52"/>
      <c r="AL52"/>
      <c r="AM52"/>
      <c r="AN52"/>
      <c r="AO52"/>
      <c r="AS52"/>
      <c r="AT52"/>
      <c r="AU52"/>
      <c r="AV52"/>
      <c r="AZ52" s="177"/>
    </row>
    <row r="53" spans="1:52" s="5" customFormat="1" ht="25.5" customHeight="1">
      <c r="A53" s="214"/>
      <c r="B53" s="10" t="s">
        <v>622</v>
      </c>
      <c r="C53" s="145" t="s">
        <v>1131</v>
      </c>
      <c r="D53" s="145" t="s">
        <v>1131</v>
      </c>
      <c r="E53" s="145" t="s">
        <v>1131</v>
      </c>
      <c r="F53" s="145" t="s">
        <v>1131</v>
      </c>
      <c r="G53" s="145" t="s">
        <v>1131</v>
      </c>
      <c r="H53" s="145" t="s">
        <v>1131</v>
      </c>
      <c r="I53" s="145" t="s">
        <v>1131</v>
      </c>
      <c r="J53" s="145" t="s">
        <v>1131</v>
      </c>
      <c r="K53" s="45"/>
      <c r="O53" s="54"/>
      <c r="AC53"/>
      <c r="AD53"/>
      <c r="AE53"/>
      <c r="AF53"/>
      <c r="AG53"/>
      <c r="AH53"/>
      <c r="AI53"/>
      <c r="AJ53"/>
      <c r="AK53"/>
      <c r="AL53"/>
      <c r="AM53"/>
      <c r="AN53"/>
      <c r="AO53"/>
      <c r="AS53"/>
      <c r="AT53"/>
      <c r="AU53"/>
      <c r="AV53"/>
      <c r="AZ53" s="177"/>
    </row>
    <row r="54" spans="1:52" s="5" customFormat="1" ht="25.5" customHeight="1">
      <c r="A54" s="214"/>
      <c r="B54" s="10" t="s">
        <v>623</v>
      </c>
      <c r="C54" s="145" t="s">
        <v>1131</v>
      </c>
      <c r="D54" s="145" t="s">
        <v>1131</v>
      </c>
      <c r="E54" s="145" t="s">
        <v>1131</v>
      </c>
      <c r="F54" s="145" t="s">
        <v>1131</v>
      </c>
      <c r="G54" s="145" t="s">
        <v>1131</v>
      </c>
      <c r="H54" s="145" t="s">
        <v>1131</v>
      </c>
      <c r="I54" s="145" t="s">
        <v>1131</v>
      </c>
      <c r="J54" s="145" t="s">
        <v>1131</v>
      </c>
      <c r="K54" s="45"/>
      <c r="O54" s="54"/>
      <c r="AC54"/>
      <c r="AD54"/>
      <c r="AE54"/>
      <c r="AF54"/>
      <c r="AG54"/>
      <c r="AH54"/>
      <c r="AI54"/>
      <c r="AJ54"/>
      <c r="AK54"/>
      <c r="AL54"/>
      <c r="AM54"/>
      <c r="AN54"/>
      <c r="AO54"/>
      <c r="AS54"/>
      <c r="AT54"/>
      <c r="AU54"/>
      <c r="AV54"/>
      <c r="AZ54" s="177"/>
    </row>
    <row r="55" spans="1:52" s="5" customFormat="1" ht="25.5" customHeight="1">
      <c r="A55" s="214"/>
      <c r="B55" s="10" t="s">
        <v>624</v>
      </c>
      <c r="C55" s="145" t="s">
        <v>1131</v>
      </c>
      <c r="D55" s="145" t="s">
        <v>1131</v>
      </c>
      <c r="E55" s="145" t="s">
        <v>1131</v>
      </c>
      <c r="F55" s="145" t="s">
        <v>1131</v>
      </c>
      <c r="G55" s="145" t="s">
        <v>1131</v>
      </c>
      <c r="H55" s="145" t="s">
        <v>1131</v>
      </c>
      <c r="I55" s="145" t="s">
        <v>1131</v>
      </c>
      <c r="J55" s="145" t="s">
        <v>1131</v>
      </c>
      <c r="K55" s="45"/>
      <c r="O55" s="54"/>
      <c r="AC55"/>
      <c r="AD55"/>
      <c r="AE55"/>
      <c r="AF55"/>
      <c r="AG55"/>
      <c r="AH55"/>
      <c r="AI55"/>
      <c r="AJ55"/>
      <c r="AK55"/>
      <c r="AL55"/>
      <c r="AM55"/>
      <c r="AN55"/>
      <c r="AO55"/>
      <c r="AS55"/>
      <c r="AT55"/>
      <c r="AU55"/>
      <c r="AV55"/>
      <c r="AZ55" s="177"/>
    </row>
    <row r="56" spans="1:52" s="5" customFormat="1" ht="25.5" customHeight="1">
      <c r="A56" s="214"/>
      <c r="B56" s="10" t="s">
        <v>625</v>
      </c>
      <c r="C56" s="145" t="s">
        <v>1131</v>
      </c>
      <c r="D56" s="145" t="s">
        <v>1131</v>
      </c>
      <c r="E56" s="145" t="s">
        <v>1131</v>
      </c>
      <c r="F56" s="145" t="s">
        <v>1131</v>
      </c>
      <c r="G56" s="145" t="s">
        <v>1131</v>
      </c>
      <c r="H56" s="145" t="s">
        <v>1131</v>
      </c>
      <c r="I56" s="145" t="s">
        <v>1131</v>
      </c>
      <c r="J56" s="145" t="s">
        <v>1131</v>
      </c>
      <c r="K56" s="45"/>
      <c r="O56" s="54"/>
      <c r="AC56"/>
      <c r="AD56"/>
      <c r="AE56"/>
      <c r="AF56"/>
      <c r="AG56"/>
      <c r="AH56"/>
      <c r="AI56"/>
      <c r="AJ56"/>
      <c r="AK56"/>
      <c r="AL56"/>
      <c r="AM56"/>
      <c r="AN56"/>
      <c r="AO56"/>
      <c r="AS56"/>
      <c r="AT56"/>
      <c r="AU56"/>
      <c r="AV56"/>
      <c r="AZ56" s="177"/>
    </row>
    <row r="57" spans="1:52" s="5" customFormat="1" ht="25.5" customHeight="1" thickBot="1">
      <c r="A57" s="214"/>
      <c r="B57" s="11" t="s">
        <v>587</v>
      </c>
      <c r="C57" s="145" t="s">
        <v>1131</v>
      </c>
      <c r="D57" s="145" t="s">
        <v>1131</v>
      </c>
      <c r="E57" s="145" t="s">
        <v>1131</v>
      </c>
      <c r="F57" s="145" t="s">
        <v>1131</v>
      </c>
      <c r="G57" s="145" t="s">
        <v>1131</v>
      </c>
      <c r="H57" s="145" t="s">
        <v>1131</v>
      </c>
      <c r="I57" s="145" t="s">
        <v>1131</v>
      </c>
      <c r="J57" s="145" t="s">
        <v>1131</v>
      </c>
      <c r="K57" s="45"/>
      <c r="O57" s="54"/>
      <c r="AC57"/>
      <c r="AD57"/>
      <c r="AE57"/>
      <c r="AF57"/>
      <c r="AG57"/>
      <c r="AH57"/>
      <c r="AI57"/>
      <c r="AJ57"/>
      <c r="AK57"/>
      <c r="AL57"/>
      <c r="AM57"/>
      <c r="AN57"/>
      <c r="AO57"/>
      <c r="AS57"/>
      <c r="AT57"/>
      <c r="AU57"/>
      <c r="AV57"/>
      <c r="AZ57" s="177"/>
    </row>
    <row r="58" spans="1:52" s="5" customFormat="1" ht="25.5" customHeight="1" thickBot="1">
      <c r="A58" s="214"/>
      <c r="B58" s="60" t="s">
        <v>1170</v>
      </c>
      <c r="C58" s="146">
        <f>SUM(C36:C57)</f>
        <v>1800</v>
      </c>
      <c r="D58" s="146">
        <f t="shared" ref="D58:J58" si="5">SUM(D36:D57)</f>
        <v>340</v>
      </c>
      <c r="E58" s="146">
        <f t="shared" si="5"/>
        <v>4800</v>
      </c>
      <c r="F58" s="146">
        <f t="shared" si="5"/>
        <v>0</v>
      </c>
      <c r="G58" s="146">
        <f t="shared" si="5"/>
        <v>0</v>
      </c>
      <c r="H58" s="146">
        <f t="shared" si="5"/>
        <v>0</v>
      </c>
      <c r="I58" s="146">
        <f t="shared" si="5"/>
        <v>0</v>
      </c>
      <c r="J58" s="146">
        <f t="shared" si="5"/>
        <v>0</v>
      </c>
      <c r="K58" s="45"/>
      <c r="O58" s="54"/>
      <c r="AC58"/>
      <c r="AD58"/>
      <c r="AE58"/>
      <c r="AF58"/>
      <c r="AG58"/>
      <c r="AH58"/>
      <c r="AI58"/>
      <c r="AJ58"/>
      <c r="AK58"/>
      <c r="AL58"/>
      <c r="AM58"/>
      <c r="AN58"/>
      <c r="AO58"/>
      <c r="AS58"/>
      <c r="AT58"/>
      <c r="AU58"/>
      <c r="AV58"/>
      <c r="AZ58" s="177"/>
    </row>
    <row r="59" spans="1:52" s="8" customFormat="1" ht="25.5" customHeight="1" thickBot="1">
      <c r="A59" s="216"/>
      <c r="B59" s="1" t="s">
        <v>589</v>
      </c>
      <c r="C59" s="366"/>
      <c r="D59" s="366"/>
      <c r="E59" s="366"/>
      <c r="F59" s="366"/>
      <c r="G59" s="366"/>
      <c r="H59" s="366"/>
      <c r="I59" s="366"/>
      <c r="J59" s="367"/>
      <c r="K59" s="45"/>
      <c r="O59" s="210"/>
      <c r="AC59"/>
      <c r="AD59"/>
      <c r="AE59"/>
      <c r="AF59"/>
      <c r="AG59"/>
      <c r="AH59"/>
      <c r="AI59"/>
      <c r="AJ59"/>
      <c r="AK59"/>
      <c r="AL59"/>
      <c r="AM59"/>
      <c r="AN59"/>
      <c r="AO59"/>
      <c r="AS59"/>
      <c r="AT59"/>
      <c r="AU59"/>
      <c r="AV59"/>
      <c r="AZ59" s="179"/>
    </row>
    <row r="60" spans="1:52" s="78" customFormat="1" ht="31.5" customHeight="1" thickTop="1" thickBot="1">
      <c r="A60" s="216"/>
      <c r="B60" s="84" t="str">
        <f>B35</f>
        <v>TIRAGEM:</v>
      </c>
      <c r="C60" s="134">
        <f>C35</f>
        <v>10000</v>
      </c>
      <c r="D60" s="134">
        <f t="shared" ref="D60:J60" si="6">D35</f>
        <v>15000</v>
      </c>
      <c r="E60" s="134">
        <f t="shared" si="6"/>
        <v>38000</v>
      </c>
      <c r="F60" s="134">
        <f t="shared" si="6"/>
        <v>22000</v>
      </c>
      <c r="G60" s="134">
        <f t="shared" si="6"/>
        <v>35000</v>
      </c>
      <c r="H60" s="134">
        <f t="shared" si="6"/>
        <v>38000</v>
      </c>
      <c r="I60" s="134">
        <f t="shared" si="6"/>
        <v>10000</v>
      </c>
      <c r="J60" s="134">
        <f t="shared" si="6"/>
        <v>22000</v>
      </c>
      <c r="K60" s="83"/>
      <c r="O60" s="211"/>
      <c r="AC60"/>
      <c r="AD60"/>
      <c r="AE60"/>
      <c r="AF60"/>
      <c r="AG60"/>
      <c r="AH60"/>
      <c r="AI60"/>
      <c r="AJ60"/>
      <c r="AK60"/>
      <c r="AL60"/>
      <c r="AM60"/>
      <c r="AN60"/>
      <c r="AO60"/>
      <c r="AS60"/>
      <c r="AT60"/>
      <c r="AU60"/>
      <c r="AV60"/>
    </row>
    <row r="61" spans="1:52" ht="31.5" customHeight="1" thickTop="1" thickBot="1">
      <c r="B61" s="12"/>
      <c r="C61" s="147"/>
      <c r="D61" s="147"/>
      <c r="E61" s="148"/>
      <c r="F61" s="148"/>
      <c r="G61" s="148"/>
      <c r="H61" s="148"/>
      <c r="I61" s="148"/>
      <c r="J61" s="148"/>
    </row>
    <row r="62" spans="1:52" ht="30.75" customHeight="1" thickBot="1">
      <c r="B62" s="65" t="s">
        <v>1194</v>
      </c>
      <c r="C62" s="88" t="str">
        <f>IF(ISERROR(VLOOKUP(LINHA_DE_PRODUTO_01,$L$3:$N$30,3,FALSE)),"0",VLOOKUP(LINHA_DE_PRODUTO_01,$L$3:$N$30,3,FALSE))</f>
        <v>0,55</v>
      </c>
      <c r="D62" s="88" t="str">
        <f>IF(ISERROR(VLOOKUP(LINHA_DE_PRODUTO_02,$L$3:$N$30,3,FALSE)),"0",VLOOKUP(LINHA_DE_PRODUTO_02,$L$3:$N$30,3,FALSE))</f>
        <v>0,25</v>
      </c>
      <c r="E62" s="88" t="str">
        <f>IF(ISERROR(VLOOKUP(LINHA_DE_PRODUTO_03,$L$3:$N$30,3,FALSE)),"0",VLOOKUP(LINHA_DE_PRODUTO_03,$L$3:$N$30,3,FALSE))</f>
        <v>0,50</v>
      </c>
      <c r="F62" s="88" t="str">
        <f>IF(ISERROR(VLOOKUP(LINHA_DE_PRODUTO_04,$L$3:$N$30,3,FALSE)),"0",VLOOKUP(LINHA_DE_PRODUTO_04,$L$3:$N$30,3,FALSE))</f>
        <v>0,55</v>
      </c>
      <c r="G62" s="88" t="str">
        <f>IF(ISERROR(VLOOKUP(LINHA_DE_PRODUTO_05,$L$3:$N$30,3,FALSE)),"0",VLOOKUP(LINHA_DE_PRODUTO_05,$L$3:$N$30,3,FALSE))</f>
        <v>0,55</v>
      </c>
      <c r="H62" s="88" t="str">
        <f>IF(ISERROR(VLOOKUP(LINHA_DE_PRODUTO_06,$L$3:$N$30,3,FALSE)),"0",VLOOKUP(LINHA_DE_PRODUTO_06,$L$3:$N$30,3,FALSE))</f>
        <v>0,55</v>
      </c>
      <c r="I62" s="88" t="str">
        <f>IF(ISERROR(VLOOKUP(LINHA_DE_PRODUTO_07,$L$3:$N$30,3,FALSE)),"0",VLOOKUP(LINHA_DE_PRODUTO_07,$L$3:$N$30,3,FALSE))</f>
        <v>0,25</v>
      </c>
      <c r="J62" s="88" t="str">
        <f>IF(ISERROR(VLOOKUP(LINHA_DE_PRODUTO_08,$L$3:$N$30,3,FALSE)),"0",VLOOKUP(LINHA_DE_PRODUTO_08,$L$3:$N$30,3,FALSE))</f>
        <v>0,50</v>
      </c>
    </row>
    <row r="63" spans="1:52" ht="30.75" customHeight="1" thickBot="1">
      <c r="B63" s="65" t="s">
        <v>1193</v>
      </c>
      <c r="C63" s="87">
        <f>PrecoDeCompras_01*MARGEM_MINIMA_01</f>
        <v>6270.0000000000009</v>
      </c>
      <c r="D63" s="87">
        <f>PrecoDeCompras_02*MARGEM_MINIMA_02</f>
        <v>4037.5</v>
      </c>
      <c r="E63" s="87">
        <f>PrecoDeCompras_03*MARGEM_MINIMA_03</f>
        <v>19000</v>
      </c>
      <c r="F63" s="87">
        <f>PrecoDeCompras_04*MARGEM_MINIMA_04</f>
        <v>0</v>
      </c>
      <c r="G63" s="87">
        <f>PrecoDeCompras_05*MARGEM_MINIMA_05</f>
        <v>0</v>
      </c>
      <c r="H63" s="87">
        <f>PrecoDeCompras_06*MARGEM_MINIMA_06</f>
        <v>0</v>
      </c>
      <c r="I63" s="87">
        <f>PrecoDeCompras_07*MARGEM_MINIMA_07</f>
        <v>0</v>
      </c>
      <c r="J63" s="87">
        <f>PrecoDeCompras_08*MARGEM_MINIMA_08</f>
        <v>0</v>
      </c>
    </row>
    <row r="64" spans="1:52" ht="31.5" customHeight="1" thickBot="1">
      <c r="C64" s="149"/>
      <c r="D64" s="149"/>
      <c r="E64" s="150"/>
      <c r="F64" s="150"/>
      <c r="G64" s="151"/>
      <c r="H64" s="151"/>
      <c r="I64" s="151"/>
      <c r="J64" s="151"/>
    </row>
    <row r="65" spans="2:10" ht="31.5" customHeight="1" thickBot="1">
      <c r="B65" s="65" t="s">
        <v>1178</v>
      </c>
      <c r="C65" s="219">
        <v>12000</v>
      </c>
      <c r="D65" s="219">
        <v>17000</v>
      </c>
      <c r="E65" s="219">
        <v>40000</v>
      </c>
      <c r="F65" s="219" t="s">
        <v>1131</v>
      </c>
      <c r="G65" s="219" t="s">
        <v>1131</v>
      </c>
      <c r="H65" s="219" t="s">
        <v>1131</v>
      </c>
      <c r="I65" s="219" t="s">
        <v>1131</v>
      </c>
      <c r="J65" s="219" t="s">
        <v>1131</v>
      </c>
    </row>
    <row r="66" spans="2:10" ht="31.5" customHeight="1">
      <c r="B66" s="64" t="s">
        <v>1172</v>
      </c>
      <c r="C66" s="81">
        <f>IF(ISERROR(TIRAGEM_01*ValorUnitarioMKT_01),"0",TIRAGEM_01*ValorUnitarioMKT_01)</f>
        <v>12000</v>
      </c>
      <c r="D66" s="81">
        <f>IF(ISERROR(TIRAGEM_02*ValorUnitarioMKT_02),"0",TIRAGEM_02*ValorUnitarioMKT_02)</f>
        <v>17000</v>
      </c>
      <c r="E66" s="81">
        <f>IF(ISERROR(TIRAGEM_03*ValorUnitarioMKT_03),"0",TIRAGEM_03*ValorUnitarioMKT_03)</f>
        <v>40000</v>
      </c>
      <c r="F66" s="81">
        <f>IF(ISERROR(TIRAGEM_04*ValorUnitarioMKT_04),"0",TIRAGEM_04*ValorUnitarioMKT_04)</f>
        <v>0</v>
      </c>
      <c r="G66" s="81">
        <f>IF(ISERROR(TIRAGEM_05*ValorUnitarioMKT_05),"0",TIRAGEM_05*ValorUnitarioMKT_05)</f>
        <v>0</v>
      </c>
      <c r="H66" s="81">
        <f>IF(ISERROR(TIRAGEM_06*ValorUnitarioMKT_06),"0",TIRAGEM_06*ValorUnitarioMKT_06)</f>
        <v>0</v>
      </c>
      <c r="I66" s="81">
        <f>IF(ISERROR(TIRAGEM_07*ValorUnitarioMKT_07),"0",TIRAGEM_07*ValorUnitarioMKT_07)</f>
        <v>0</v>
      </c>
      <c r="J66" s="81">
        <f>IF(ISERROR(TIRAGEM_08*ValorUnitarioMKT_08),"0",TIRAGEM_08*ValorUnitarioMKT_08)</f>
        <v>0</v>
      </c>
    </row>
    <row r="67" spans="2:10" ht="31.5" customHeight="1">
      <c r="B67" s="63" t="s">
        <v>1179</v>
      </c>
      <c r="C67" s="80">
        <f>IF(ISERROR(PrecoMKT_01/TIRAGEM_01),"0",PrecoMKT_01/TIRAGEM_01)</f>
        <v>1.2</v>
      </c>
      <c r="D67" s="80">
        <f>IF(ISERROR(PrecoMKT_02/TIRAGEM_02),"0",PrecoMKT_02/TIRAGEM_02)</f>
        <v>1.1333333333333333</v>
      </c>
      <c r="E67" s="80">
        <f>IF(ISERROR(PrecoMKT_03/TIRAGEM_03),"0",PrecoMKT_03/TIRAGEM_03)</f>
        <v>1.0526315789473684</v>
      </c>
      <c r="F67" s="80">
        <f>IF(ISERROR(PrecoMKT_04/TIRAGEM_04),"0",PrecoMKT_04/TIRAGEM_04)</f>
        <v>0</v>
      </c>
      <c r="G67" s="80">
        <f>IF(ISERROR(PrecoMKT_05/TIRAGEM_05),"0",PrecoMKT_05/TIRAGEM_05)</f>
        <v>0</v>
      </c>
      <c r="H67" s="80">
        <f>IF(ISERROR(PrecoMKT_06/TIRAGEM_06),"0",PrecoMKT_06/TIRAGEM_06)</f>
        <v>0</v>
      </c>
      <c r="I67" s="80">
        <f>IF(ISERROR(PrecoMKT_07/TIRAGEM_07),"0",PrecoMKT_07/TIRAGEM_07)</f>
        <v>0</v>
      </c>
      <c r="J67" s="80">
        <f>IF(ISERROR(PrecoMKT_08/TIRAGEM_08),"0",PrecoMKT_08/TIRAGEM_08)</f>
        <v>0</v>
      </c>
    </row>
    <row r="68" spans="2:10" ht="31.5" customHeight="1">
      <c r="B68" s="63" t="s">
        <v>1180</v>
      </c>
      <c r="C68" s="61">
        <f>IF(ISERROR(MargemBrutaMKT_01/PrecoMKT_01),"0",MargemBrutaMKT_01/PrecoMKT_01)</f>
        <v>0.85</v>
      </c>
      <c r="D68" s="61">
        <f>IF(ISERROR(MargemBrutaMKT_02/PrecoMKT_02),"0",MargemBrutaMKT_02/PrecoMKT_02)</f>
        <v>0.98</v>
      </c>
      <c r="E68" s="61">
        <f>IF(ISERROR(MargemBrutaMKT_03/PrecoMKT_03),"0",MargemBrutaMKT_03/PrecoMKT_03)</f>
        <v>0.88</v>
      </c>
      <c r="F68" s="61" t="str">
        <f>IF(ISERROR(MargemBrutaMKT_04/PrecoMKT_04),"0",MargemBrutaMKT_04/PrecoMKT_04)</f>
        <v>0</v>
      </c>
      <c r="G68" s="61" t="str">
        <f>IF(ISERROR(MargemBrutaMKT_05/PrecoMKT_05),"0",MargemBrutaMKT_05/PrecoMKT_05)</f>
        <v>0</v>
      </c>
      <c r="H68" s="61" t="str">
        <f>IF(ISERROR(MargemBrutaMKT_06/PrecoMKT_06),"0",MargemBrutaMKT_06/PrecoMKT_06)</f>
        <v>0</v>
      </c>
      <c r="I68" s="61" t="str">
        <f>IF(ISERROR(MargemBrutaMKT_07/PrecoMKT_07),"0",MargemBrutaMKT_07/PrecoMKT_07)</f>
        <v>0</v>
      </c>
      <c r="J68" s="61" t="str">
        <f>IF(ISERROR(MargemBrutaMKT_08/PrecoMKT_08),"0",MargemBrutaMKT_08/PrecoMKT_08)</f>
        <v>0</v>
      </c>
    </row>
    <row r="69" spans="2:10" ht="31.5" customHeight="1">
      <c r="B69" s="63" t="s">
        <v>1177</v>
      </c>
      <c r="C69" s="80">
        <f>IF(ISERROR(PrecoMKT_01-SomaCustos_01),"0",PrecoMKT_01-SomaCustos_01)</f>
        <v>10200</v>
      </c>
      <c r="D69" s="80">
        <f>IF(ISERROR(PrecoMKT_02-SomaCustos_02),"0",PrecoMKT_02-SomaCustos_02)</f>
        <v>16660</v>
      </c>
      <c r="E69" s="80">
        <f>IF(ISERROR(PrecoMKT_03-SomaCustos_03),"0",PrecoMKT_03-SomaCustos_03)</f>
        <v>35200</v>
      </c>
      <c r="F69" s="80">
        <f>IF(ISERROR(PrecoMKT_04-SomaCustos_04),"0",PrecoMKT_04-SomaCustos_04)</f>
        <v>0</v>
      </c>
      <c r="G69" s="80">
        <f>IF(ISERROR(PrecoMKT_05-SomaCustos_05),"0",PrecoMKT_05-SomaCustos_05)</f>
        <v>0</v>
      </c>
      <c r="H69" s="80">
        <f>IF(ISERROR(PrecoMKT_06-SomaCustos_06),"0",PrecoMKT_06-SomaCustos_06)</f>
        <v>0</v>
      </c>
      <c r="I69" s="80">
        <f>IF(ISERROR(PrecoMKT_07-SomaCustos_07),"0",PrecoMKT_07-SomaCustos_07)</f>
        <v>0</v>
      </c>
      <c r="J69" s="80">
        <f>IF(ISERROR(PrecoMKT_08-SomaCustos_08),"0",PrecoMKT_08-SomaCustos_08)</f>
        <v>0</v>
      </c>
    </row>
    <row r="70" spans="2:10" ht="31.5" customHeight="1" thickBot="1">
      <c r="C70" s="149"/>
      <c r="D70" s="149"/>
      <c r="E70" s="150"/>
      <c r="F70" s="150"/>
      <c r="G70" s="151"/>
      <c r="H70" s="151"/>
      <c r="I70" s="151"/>
      <c r="J70" s="151"/>
    </row>
    <row r="71" spans="2:10" ht="30.75" customHeight="1" thickBot="1">
      <c r="B71" s="65" t="s">
        <v>1171</v>
      </c>
      <c r="C71" s="221" t="s">
        <v>1183</v>
      </c>
      <c r="D71" s="221" t="s">
        <v>1183</v>
      </c>
      <c r="E71" s="221" t="s">
        <v>1183</v>
      </c>
      <c r="F71" s="221" t="s">
        <v>1183</v>
      </c>
      <c r="G71" s="221" t="s">
        <v>1183</v>
      </c>
      <c r="H71" s="221" t="s">
        <v>1183</v>
      </c>
      <c r="I71" s="221" t="s">
        <v>1183</v>
      </c>
      <c r="J71" s="221" t="s">
        <v>1183</v>
      </c>
    </row>
    <row r="72" spans="2:10" ht="30.75" customHeight="1" thickBot="1">
      <c r="B72" s="76" t="s">
        <v>1173</v>
      </c>
      <c r="C72" s="82">
        <f>IF(ISERROR(PrecoMKT_01*(100%-DescontoPadrao_01)),"0",PrecoMKT_01*(100%-DescontoPadrao_01))</f>
        <v>11400</v>
      </c>
      <c r="D72" s="82">
        <f>IF(ISERROR(PrecoMKT_02*(100%-DescontoPadrao_02)),"0",PrecoMKT_02*(100%-DescontoPadrao_02))</f>
        <v>16150</v>
      </c>
      <c r="E72" s="82">
        <f>IF(ISERROR(PrecoMKT_03*(100%-DescontoPadrao_03)),"0",PrecoMKT_03*(100%-DescontoPadrao_03))</f>
        <v>38000</v>
      </c>
      <c r="F72" s="82">
        <f>IF(ISERROR(PrecoMKT_04*(100%-DescontoPadrao_04)),"0",PrecoMKT_04*(100%-DescontoPadrao_04))</f>
        <v>0</v>
      </c>
      <c r="G72" s="82">
        <f>IF(ISERROR(PrecoMKT_05*(100%-DescontoPadrao_05)),"0",PrecoMKT_05*(100%-DescontoPadrao_05))</f>
        <v>0</v>
      </c>
      <c r="H72" s="82">
        <f>IF(ISERROR(PrecoMKT_06*(100%-DescontoPadrao_06)),"0",PrecoMKT_06*(100%-DescontoPadrao_06))</f>
        <v>0</v>
      </c>
      <c r="I72" s="82">
        <f>IF(ISERROR(PrecoMKT_07*(100%-DescontoPadrao_07)),"0",PrecoMKT_07*(100%-DescontoPadrao_07))</f>
        <v>0</v>
      </c>
      <c r="J72" s="82">
        <f>IF(ISERROR(PrecoMKT_08*(100%-DescontoPadrao_08)),"0",PrecoMKT_08*(100%-DescontoPadrao_08))</f>
        <v>0</v>
      </c>
    </row>
    <row r="73" spans="2:10" ht="30.75" customHeight="1" thickBot="1">
      <c r="B73" s="65" t="s">
        <v>1172</v>
      </c>
      <c r="C73" s="219" t="s">
        <v>1131</v>
      </c>
      <c r="D73" s="219" t="s">
        <v>1131</v>
      </c>
      <c r="E73" s="219" t="s">
        <v>1131</v>
      </c>
      <c r="F73" s="219" t="s">
        <v>1131</v>
      </c>
      <c r="G73" s="219" t="s">
        <v>1131</v>
      </c>
      <c r="H73" s="219" t="s">
        <v>1131</v>
      </c>
      <c r="I73" s="219" t="s">
        <v>1131</v>
      </c>
      <c r="J73" s="219" t="s">
        <v>1131</v>
      </c>
    </row>
    <row r="74" spans="2:10" ht="30.75" customHeight="1">
      <c r="B74" s="64" t="s">
        <v>1174</v>
      </c>
      <c r="C74" s="77">
        <f>IF(ISERROR(+(PrecoDeCompras_01-SomaCustos_01)/PrecoDeCompras_01),"0",+(PrecoDeCompras_01-SomaCustos_01)/PrecoDeCompras_01)</f>
        <v>0.84210526315789469</v>
      </c>
      <c r="D74" s="77">
        <f>IF(ISERROR(+(PrecoDeCompras_02-SomaCustos_02)/PrecoDeCompras_02),"0",+(PrecoDeCompras_02-SomaCustos_02)/PrecoDeCompras_02)</f>
        <v>0.97894736842105268</v>
      </c>
      <c r="E74" s="77">
        <f>IF(ISERROR(+(PrecoDeCompras_03-SomaCustos_03)/PrecoDeCompras_03),"0",+(PrecoDeCompras_03-SomaCustos_03)/PrecoDeCompras_03)</f>
        <v>0.87368421052631584</v>
      </c>
      <c r="F74" s="77" t="str">
        <f>IF(ISERROR(+(PrecoDeCompras_04-SomaCustos_04)/PrecoDeCompras_04),"0",+(PrecoDeCompras_04-SomaCustos_04)/PrecoDeCompras_04)</f>
        <v>0</v>
      </c>
      <c r="G74" s="77" t="str">
        <f>IF(ISERROR(+(PrecoDeCompras_05-SomaCustos_05)/PrecoDeCompras_05),"0",+(PrecoDeCompras_05-SomaCustos_05)/PrecoDeCompras_05)</f>
        <v>0</v>
      </c>
      <c r="H74" s="77" t="str">
        <f>IF(ISERROR(+(PrecoDeCompras_06-SomaCustos_06)/PrecoDeCompras_06),"0",+(PrecoDeCompras_06-SomaCustos_06)/PrecoDeCompras_06)</f>
        <v>0</v>
      </c>
      <c r="I74" s="77" t="str">
        <f>IF(ISERROR(+(PrecoDeCompras_07-SomaCustos_07)/PrecoDeCompras_07),"0",+(PrecoDeCompras_07-SomaCustos_07)/PrecoDeCompras_07)</f>
        <v>0</v>
      </c>
      <c r="J74" s="77" t="str">
        <f>IF(ISERROR(+(PrecoDeCompras_08-SomaCustos_08)/PrecoDeCompras_08),"0",+(PrecoDeCompras_08-SomaCustos_08)/PrecoDeCompras_08)</f>
        <v>0</v>
      </c>
    </row>
    <row r="75" spans="2:10" ht="30.75" customHeight="1">
      <c r="B75" s="63" t="s">
        <v>1175</v>
      </c>
      <c r="C75" s="80">
        <f>IF(ISERROR(PrecoDeCompras_01/TIRAGEM_01),"0",PrecoDeCompras_01/TIRAGEM_01)</f>
        <v>1.1399999999999999</v>
      </c>
      <c r="D75" s="80">
        <f>IF(ISERROR(PrecoDeCompras_02/TIRAGEM_02),"0",PrecoDeCompras_02/TIRAGEM_02)</f>
        <v>1.0766666666666667</v>
      </c>
      <c r="E75" s="80">
        <f>IF(ISERROR(PrecoDeCompras_03/TIRAGEM_03),"0",PrecoDeCompras_03/TIRAGEM_03)</f>
        <v>1</v>
      </c>
      <c r="F75" s="80">
        <f>IF(ISERROR(PrecoDeCompras_04/TIRAGEM_04),"0",PrecoDeCompras_04/TIRAGEM_04)</f>
        <v>0</v>
      </c>
      <c r="G75" s="80">
        <f>IF(ISERROR(PrecoDeCompras_05/TIRAGEM_05),"0",PrecoDeCompras_05/TIRAGEM_05)</f>
        <v>0</v>
      </c>
      <c r="H75" s="80">
        <f>IF(ISERROR(PrecoDeCompras_06/TIRAGEM_06),"0",PrecoDeCompras_06/TIRAGEM_06)</f>
        <v>0</v>
      </c>
      <c r="I75" s="80">
        <f>IF(ISERROR(PrecoDeCompras_07/TIRAGEM_07),"0",PrecoDeCompras_07/TIRAGEM_07)</f>
        <v>0</v>
      </c>
      <c r="J75" s="80">
        <f>IF(ISERROR(PrecoDeCompras_08/TIRAGEM_08),"0",PrecoDeCompras_08/TIRAGEM_08)</f>
        <v>0</v>
      </c>
    </row>
    <row r="76" spans="2:10" ht="30.75" customHeight="1">
      <c r="B76" s="63" t="s">
        <v>1176</v>
      </c>
      <c r="C76" s="62">
        <f>IF(ISERROR(+(PrecoDeCompras_01/PrecoMKT_01)-1),"0",+(PrecoDeCompras_01/PrecoMKT_01)-1)</f>
        <v>-5.0000000000000044E-2</v>
      </c>
      <c r="D76" s="62">
        <f>IF(ISERROR(+(PrecoDeCompras_02/PrecoMKT_02)-1),"0",+(PrecoDeCompras_02/PrecoMKT_02)-1)</f>
        <v>-5.0000000000000044E-2</v>
      </c>
      <c r="E76" s="62">
        <f>IF(ISERROR(+(PrecoDeCompras_03/PrecoMKT_03)-1),"0",+(PrecoDeCompras_03/PrecoMKT_03)-1)</f>
        <v>-5.0000000000000044E-2</v>
      </c>
      <c r="F76" s="62" t="str">
        <f>IF(ISERROR(+(PrecoDeCompras_04/PrecoMKT_04)-1),"0",+(PrecoDeCompras_04/PrecoMKT_04)-1)</f>
        <v>0</v>
      </c>
      <c r="G76" s="62" t="str">
        <f>IF(ISERROR(+(PrecoDeCompras_05/PrecoMKT_05)-1),"0",+(PrecoDeCompras_05/PrecoMKT_05)-1)</f>
        <v>0</v>
      </c>
      <c r="H76" s="62" t="str">
        <f>IF(ISERROR(+(PrecoDeCompras_06/PrecoMKT_06)-1),"0",+(PrecoDeCompras_06/PrecoMKT_06)-1)</f>
        <v>0</v>
      </c>
      <c r="I76" s="62" t="str">
        <f>IF(ISERROR(+(PrecoDeCompras_07/PrecoMKT_07)-1),"0",+(PrecoDeCompras_07/PrecoMKT_07)-1)</f>
        <v>0</v>
      </c>
      <c r="J76" s="62" t="str">
        <f>IF(ISERROR(+(PrecoDeCompras_08/PrecoMKT_08)-1),"0",+(PrecoDeCompras_08/PrecoMKT_08)-1)</f>
        <v>0</v>
      </c>
    </row>
    <row r="77" spans="2:10" ht="30.75" customHeight="1">
      <c r="B77" s="63" t="s">
        <v>1177</v>
      </c>
      <c r="C77" s="80">
        <f>IF(ISERROR(PrecoTotal_01-SomaCustos_01),"0",PrecoTotal_01-SomaCustos_01)</f>
        <v>-1800</v>
      </c>
      <c r="D77" s="80">
        <f>IF(ISERROR(PrecoTotal_02-SomaCustos_02),"0",PrecoTotal_02-SomaCustos_02)</f>
        <v>-340</v>
      </c>
      <c r="E77" s="80">
        <f>IF(ISERROR(PrecoTotal_03-SomaCustos_03),"0",PrecoTotal_03-SomaCustos_03)</f>
        <v>-4800</v>
      </c>
      <c r="F77" s="80">
        <f>IF(ISERROR(PrecoTotal_04-SomaCustos_04),"0",PrecoTotal_04-SomaCustos_04)</f>
        <v>0</v>
      </c>
      <c r="G77" s="80">
        <f>IF(ISERROR(PrecoTotal_05-SomaCustos_05),"0",PrecoTotal_05-SomaCustos_05)</f>
        <v>0</v>
      </c>
      <c r="H77" s="80">
        <f>IF(ISERROR(PrecoTotal_06-SomaCustos_06),"0",PrecoTotal_06-SomaCustos_06)</f>
        <v>0</v>
      </c>
      <c r="I77" s="80">
        <f>IF(ISERROR(PrecoTotal_07-SomaCustos_07),"0",PrecoTotal_07-SomaCustos_07)</f>
        <v>0</v>
      </c>
      <c r="J77" s="80">
        <f>IF(ISERROR(PrecoTotal_08-SomaCustos_08),"0",PrecoTotal_08-SomaCustos_08)</f>
        <v>0</v>
      </c>
    </row>
    <row r="78" spans="2:10" ht="31.5" customHeight="1">
      <c r="C78" s="152"/>
      <c r="D78" s="152"/>
      <c r="E78" s="153"/>
      <c r="F78" s="153"/>
      <c r="G78" s="154"/>
      <c r="H78" s="154"/>
      <c r="I78" s="154"/>
      <c r="J78" s="154"/>
    </row>
    <row r="79" spans="2:10" ht="30.75" customHeight="1">
      <c r="B79" s="79" t="s">
        <v>1190</v>
      </c>
      <c r="C79" s="103">
        <v>0.90749999999999997</v>
      </c>
      <c r="D79" s="152"/>
      <c r="E79" s="153"/>
      <c r="F79" s="153"/>
      <c r="G79" s="154"/>
      <c r="H79" s="154"/>
      <c r="I79" s="154"/>
      <c r="J79" s="154"/>
    </row>
    <row r="80" spans="2:10" ht="30.75" customHeight="1">
      <c r="B80" s="79" t="s">
        <v>1191</v>
      </c>
      <c r="C80" s="103">
        <v>0.85750000000000004</v>
      </c>
      <c r="D80" s="149"/>
      <c r="E80" s="150"/>
      <c r="F80" s="150"/>
      <c r="G80" s="151"/>
      <c r="H80" s="151"/>
      <c r="I80" s="151"/>
      <c r="J80" s="151"/>
    </row>
    <row r="81" spans="2:10" ht="31.5" customHeight="1" thickBot="1">
      <c r="C81" s="149"/>
      <c r="D81" s="149"/>
      <c r="E81" s="150"/>
      <c r="F81" s="150"/>
      <c r="G81" s="151"/>
      <c r="H81" s="151"/>
      <c r="I81" s="151"/>
      <c r="J81" s="151"/>
    </row>
    <row r="82" spans="2:10" ht="31.5" customHeight="1">
      <c r="B82" s="89" t="s">
        <v>1189</v>
      </c>
      <c r="C82" s="90">
        <f>IF(C15="PRODUTO",IF(ISERROR(+PrecoMKT_01/PRODUTO),"",+PrecoMKT_01/PRODUTO),IF(ISERROR(+PrecoMKT_01/SERVICO),"",+PrecoMKT_01/SERVICO))</f>
        <v>13223.140495867769</v>
      </c>
      <c r="D82" s="90">
        <f>IF(D15="PRODUTO",IF(ISERROR(+PrecoMKT_02/PRODUTO),"",+PrecoMKT_02/PRODUTO),IF(ISERROR(+PrecoMKT_02/SERVICO),"",+PrecoMKT_02/SERVICO))</f>
        <v>18732.782369146007</v>
      </c>
      <c r="E82" s="90">
        <f>IF(E15="PRODUTO",IF(ISERROR(+PrecoMKT_03/PRODUTO),"",+PrecoMKT_03/PRODUTO),IF(ISERROR(+PrecoMKT_03/SERVICO),"",+PrecoMKT_03/SERVICO))</f>
        <v>46647.230320699709</v>
      </c>
      <c r="F82" s="90">
        <f>IF(F15="PRODUTO",IF(ISERROR(+PrecoMKT_04/PRODUTO),"",+PrecoMKT_04/PRODUTO),IF(ISERROR(+PrecoMKT_04/SERVICO),"",+PrecoMKT_04/SERVICO))</f>
        <v>0</v>
      </c>
      <c r="G82" s="90">
        <f>IF(G15="PRODUTO",IF(ISERROR(+PrecoMKT_05/PRODUTO),"",+PrecoMKT_05/PRODUTO),IF(ISERROR(+PrecoMKT_05/SERVICO),"",+PrecoMKT_05/SERVICO))</f>
        <v>0</v>
      </c>
      <c r="H82" s="90">
        <f>IF(H15="PRODUTO",IF(ISERROR(+PrecoMKT_06/PRODUTO),"",+PrecoMKT_06/PRODUTO),IF(ISERROR(+PrecoMKT_06/SERVICO),"",+PrecoMKT_06/SERVICO))</f>
        <v>0</v>
      </c>
      <c r="I82" s="90">
        <f>IF(I15="PRODUTO",IF(ISERROR(+PrecoMKT_07/PRODUTO),"",+PrecoMKT_07/PRODUTO),IF(ISERROR(+PrecoMKT_07/SERVICO),"",+PrecoMKT_07/SERVICO))</f>
        <v>0</v>
      </c>
      <c r="J82" s="91">
        <f>IF(J15="PRODUTO",IF(ISERROR(+PrecoMKT_08/PRODUTO),"",+PrecoMKT_08/PRODUTO),IF(ISERROR(+PrecoMKT_08/SERVICO),"",+PrecoMKT_08/SERVICO))</f>
        <v>0</v>
      </c>
    </row>
    <row r="83" spans="2:10" ht="31.5" customHeight="1">
      <c r="B83" s="92" t="s">
        <v>1188</v>
      </c>
      <c r="C83" s="220">
        <v>13300</v>
      </c>
      <c r="D83" s="220">
        <v>19000</v>
      </c>
      <c r="E83" s="220">
        <v>47000</v>
      </c>
      <c r="F83" s="220" t="s">
        <v>1131</v>
      </c>
      <c r="G83" s="220" t="s">
        <v>1131</v>
      </c>
      <c r="H83" s="220" t="s">
        <v>1131</v>
      </c>
      <c r="I83" s="220" t="s">
        <v>1131</v>
      </c>
      <c r="J83" s="220" t="s">
        <v>1131</v>
      </c>
    </row>
    <row r="84" spans="2:10" ht="31.5" customHeight="1" thickBot="1">
      <c r="B84" s="93" t="s">
        <v>1187</v>
      </c>
      <c r="C84" s="94">
        <f>IF(ISERROR(+ARREDONDAMENT0_01/TIRAGEM_01),"0",+ARREDONDAMENT0_01/TIRAGEM_01)</f>
        <v>1.33</v>
      </c>
      <c r="D84" s="94">
        <f>IF(ISERROR(+ARREDONDAMENT0_02/TIRAGEM_02),"0",+ARREDONDAMENT0_02/TIRAGEM_02)</f>
        <v>1.2666666666666666</v>
      </c>
      <c r="E84" s="94">
        <f>IF(ISERROR(+ARREDONDAMENT0_03/TIRAGEM_03),"0",+ARREDONDAMENT0_03/TIRAGEM_03)</f>
        <v>1.236842105263158</v>
      </c>
      <c r="F84" s="94">
        <f>IF(ISERROR(+ARREDONDAMENT0_04/TIRAGEM_04),"0",+ARREDONDAMENT0_04/TIRAGEM_04)</f>
        <v>0</v>
      </c>
      <c r="G84" s="94">
        <f>IF(ISERROR(+ARREDONDAMENT0_05/TIRAGEM_05),"0",+ARREDONDAMENT0_05/TIRAGEM_05)</f>
        <v>0</v>
      </c>
      <c r="H84" s="94">
        <f>IF(ISERROR(+ARREDONDAMENT0_06/TIRAGEM_06),"0",+ARREDONDAMENT0_06/TIRAGEM_06)</f>
        <v>0</v>
      </c>
      <c r="I84" s="94">
        <f>IF(ISERROR(+ARREDONDAMENT0_07/TIRAGEM_07),"0",+ARREDONDAMENT0_07/TIRAGEM_07)</f>
        <v>0</v>
      </c>
      <c r="J84" s="95">
        <f>IF(ISERROR(+ARREDONDAMENT0_08/TIRAGEM_08),"0",+ARREDONDAMENT0_08/TIRAGEM_08)</f>
        <v>0</v>
      </c>
    </row>
    <row r="85" spans="2:10" ht="31.5" customHeight="1">
      <c r="C85" s="149"/>
      <c r="D85" s="149"/>
      <c r="E85" s="150"/>
      <c r="F85" s="150"/>
      <c r="G85" s="151"/>
      <c r="H85" s="151"/>
      <c r="I85" s="151"/>
      <c r="J85" s="151"/>
    </row>
    <row r="86" spans="2:10" ht="31.5" customHeight="1">
      <c r="B86" s="63" t="s">
        <v>1192</v>
      </c>
      <c r="C86" s="86">
        <f>IF(ISERROR(PRECO_VENDA_GROSS_01*FASCICULOS_01),"",PRECO_VENDA_GROSS_01*FASCICULOS_01)</f>
        <v>132231.40495867768</v>
      </c>
      <c r="D86" s="86">
        <f>IF(ISERROR(PRECO_VENDA_GROSS_02*FASCICULOS_02),"",PRECO_VENDA_GROSS_02*FASCICULOS_02)</f>
        <v>37465.564738292014</v>
      </c>
      <c r="E86" s="86">
        <f>IF(ISERROR(PRECO_VENDA_GROSS_03*FASCICULOS_03),"",PRECO_VENDA_GROSS_03*FASCICULOS_03)</f>
        <v>139941.69096209912</v>
      </c>
      <c r="F86" s="86">
        <f>IF(ISERROR(PRECO_VENDA_GROSS_04*FASCICULOS_04),"",PRECO_VENDA_GROSS_04*FASCICULOS_04)</f>
        <v>0</v>
      </c>
      <c r="G86" s="86">
        <f>IF(ISERROR(PRECO_VENDA_GROSS_05*FASCICULOS_05),"",PRECO_VENDA_GROSS_05*FASCICULOS_05)</f>
        <v>0</v>
      </c>
      <c r="H86" s="86">
        <f>IF(ISERROR(PRECO_VENDA_GROSS_06*FASCICULOS_06),"",PRECO_VENDA_GROSS_06*FASCICULOS_06)</f>
        <v>0</v>
      </c>
      <c r="I86" s="86">
        <f>IF(ISERROR(PRECO_VENDA_GROSS_07*FASCICULOS_07),"",PRECO_VENDA_GROSS_07*FASCICULOS_07)</f>
        <v>0</v>
      </c>
      <c r="J86" s="86">
        <f>IF(ISERROR(PRECO_VENDA_GROSS_08*FASCICULOS_08),"",PRECO_VENDA_GROSS_08*FASCICULOS_08)</f>
        <v>0</v>
      </c>
    </row>
    <row r="89" spans="2:10" ht="16.5" thickBot="1"/>
    <row r="90" spans="2:10" ht="31.5" customHeight="1">
      <c r="B90" s="89" t="s">
        <v>1189</v>
      </c>
      <c r="C90" s="90">
        <f>IF(C23="PRODUTO",IF(ISERROR(+PrecoMKT_01/PRODUTO),"",+PrecoMKT_01/PRODUTO),IF(ISERROR(+PrecoMKT_01/SERVICO),"",+PrecoMKT_01/SERVICO))</f>
        <v>13994.169096209911</v>
      </c>
      <c r="D90" s="90">
        <f>IF(D23="PRODUTO",IF(ISERROR(+PrecoMKT_02/PRODUTO),"",+PrecoMKT_02/PRODUTO),IF(ISERROR(+PrecoMKT_02/SERVICO),"",+PrecoMKT_02/SERVICO))</f>
        <v>19825.072886297374</v>
      </c>
      <c r="E90" s="90">
        <f>IF(E23="PRODUTO",IF(ISERROR(+PrecoMKT_03/PRODUTO),"",+PrecoMKT_03/PRODUTO),IF(ISERROR(+PrecoMKT_03/SERVICO),"",+PrecoMKT_03/SERVICO))</f>
        <v>46647.230320699709</v>
      </c>
      <c r="F90" s="90">
        <f>IF(F23="PRODUTO",IF(ISERROR(+PrecoMKT_04/PRODUTO),"",+PrecoMKT_04/PRODUTO),IF(ISERROR(+PrecoMKT_04/SERVICO),"",+PrecoMKT_04/SERVICO))</f>
        <v>0</v>
      </c>
      <c r="G90" s="90">
        <f>IF(G23="PRODUTO",IF(ISERROR(+PrecoMKT_05/PRODUTO),"",+PrecoMKT_05/PRODUTO),IF(ISERROR(+PrecoMKT_05/SERVICO),"",+PrecoMKT_05/SERVICO))</f>
        <v>0</v>
      </c>
      <c r="H90" s="90">
        <f>IF(H23="PRODUTO",IF(ISERROR(+PrecoMKT_06/PRODUTO),"",+PrecoMKT_06/PRODUTO),IF(ISERROR(+PrecoMKT_06/SERVICO),"",+PrecoMKT_06/SERVICO))</f>
        <v>0</v>
      </c>
      <c r="I90" s="90">
        <f>IF(I23="PRODUTO",IF(ISERROR(+PrecoMKT_07/PRODUTO),"",+PrecoMKT_07/PRODUTO),IF(ISERROR(+PrecoMKT_07/SERVICO),"",+PrecoMKT_07/SERVICO))</f>
        <v>0</v>
      </c>
      <c r="J90" s="91">
        <f>IF(J23="PRODUTO",IF(ISERROR(+PrecoMKT_08/PRODUTO),"",+PrecoMKT_08/PRODUTO),IF(ISERROR(+PrecoMKT_08/SERVICO),"",+PrecoMKT_08/SERVICO))</f>
        <v>0</v>
      </c>
    </row>
    <row r="91" spans="2:10" ht="31.5" customHeight="1">
      <c r="B91" s="92" t="s">
        <v>1188</v>
      </c>
      <c r="C91" s="220" t="s">
        <v>1131</v>
      </c>
      <c r="D91" s="220" t="s">
        <v>1131</v>
      </c>
      <c r="E91" s="220" t="s">
        <v>1131</v>
      </c>
      <c r="F91" s="220" t="s">
        <v>1131</v>
      </c>
      <c r="G91" s="220">
        <v>0</v>
      </c>
      <c r="H91" s="220">
        <v>0</v>
      </c>
      <c r="I91" s="220">
        <v>0</v>
      </c>
      <c r="J91" s="220">
        <v>0</v>
      </c>
    </row>
    <row r="92" spans="2:10" ht="31.5" customHeight="1" thickBot="1">
      <c r="B92" s="93" t="s">
        <v>1187</v>
      </c>
      <c r="C92" s="94">
        <f>IF(ISERROR(+ARREDONDAMENT0_01/TIRAGEM_01),"0",+ARREDONDAMENT0_01/TIRAGEM_01)</f>
        <v>1.33</v>
      </c>
      <c r="D92" s="94">
        <f>IF(ISERROR(+ARREDONDAMENT0_02/TIRAGEM_02),"0",+ARREDONDAMENT0_02/TIRAGEM_02)</f>
        <v>1.2666666666666666</v>
      </c>
      <c r="E92" s="94">
        <f>IF(ISERROR(+ARREDONDAMENT0_03/TIRAGEM_03),"0",+ARREDONDAMENT0_03/TIRAGEM_03)</f>
        <v>1.236842105263158</v>
      </c>
      <c r="F92" s="94">
        <f>IF(ISERROR(+ARREDONDAMENT0_04/TIRAGEM_04),"0",+ARREDONDAMENT0_04/TIRAGEM_04)</f>
        <v>0</v>
      </c>
      <c r="G92" s="94">
        <f>IF(ISERROR(+ARREDONDAMENT0_05/TIRAGEM_05),"0",+ARREDONDAMENT0_05/TIRAGEM_05)</f>
        <v>0</v>
      </c>
      <c r="H92" s="94">
        <f>IF(ISERROR(+ARREDONDAMENT0_06/TIRAGEM_06),"0",+ARREDONDAMENT0_06/TIRAGEM_06)</f>
        <v>0</v>
      </c>
      <c r="I92" s="94">
        <f>IF(ISERROR(+ARREDONDAMENT0_07/TIRAGEM_07),"0",+ARREDONDAMENT0_07/TIRAGEM_07)</f>
        <v>0</v>
      </c>
      <c r="J92" s="95">
        <f>IF(ISERROR(+ARREDONDAMENT0_08/TIRAGEM_08),"0",+ARREDONDAMENT0_08/TIRAGEM_08)</f>
        <v>0</v>
      </c>
    </row>
    <row r="1048508" spans="1:247" s="19" customFormat="1">
      <c r="A1048508" s="3"/>
      <c r="B1048508" s="31" t="s">
        <v>1129</v>
      </c>
      <c r="E1048508" s="3"/>
      <c r="F1048508" s="3"/>
      <c r="G1048508" s="13"/>
      <c r="H1048508" s="13"/>
      <c r="I1048508" s="13"/>
      <c r="J1048508" s="13"/>
      <c r="K1048508" s="46"/>
      <c r="L1048508" s="3"/>
      <c r="M1048508" s="3"/>
      <c r="N1048508" s="3"/>
      <c r="O1048508" s="207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/>
      <c r="AD1048508"/>
      <c r="AE1048508"/>
      <c r="AF1048508"/>
      <c r="AG1048508"/>
      <c r="AH1048508"/>
      <c r="AI1048508"/>
      <c r="AJ1048508"/>
      <c r="AK1048508"/>
      <c r="AL1048508"/>
      <c r="AM1048508"/>
      <c r="AN1048508"/>
      <c r="AO1048508"/>
      <c r="AP1048508" s="3"/>
      <c r="AQ1048508" s="3"/>
      <c r="AR1048508" s="3"/>
      <c r="AS1048508"/>
      <c r="AT1048508"/>
      <c r="AU1048508"/>
      <c r="AV1048508"/>
      <c r="AW1048508" s="3"/>
      <c r="AX1048508" s="3"/>
      <c r="AY1048508" s="3"/>
      <c r="AZ1048508" s="181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</row>
    <row r="1048509" spans="1:247" s="19" customFormat="1">
      <c r="A1048509" s="3"/>
      <c r="B1048509" s="31" t="s">
        <v>1128</v>
      </c>
      <c r="E1048509" s="3"/>
      <c r="F1048509" s="3"/>
      <c r="G1048509" s="13"/>
      <c r="H1048509" s="13"/>
      <c r="I1048509" s="13"/>
      <c r="J1048509" s="13"/>
      <c r="K1048509" s="46"/>
      <c r="L1048509" s="3"/>
      <c r="M1048509" s="3"/>
      <c r="N1048509" s="3"/>
      <c r="O1048509" s="207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/>
      <c r="AD1048509"/>
      <c r="AE1048509"/>
      <c r="AF1048509"/>
      <c r="AG1048509"/>
      <c r="AH1048509"/>
      <c r="AI1048509"/>
      <c r="AJ1048509"/>
      <c r="AK1048509"/>
      <c r="AL1048509"/>
      <c r="AM1048509"/>
      <c r="AN1048509"/>
      <c r="AO1048509"/>
      <c r="AP1048509" s="3"/>
      <c r="AQ1048509" s="3"/>
      <c r="AR1048509" s="3"/>
      <c r="AS1048509"/>
      <c r="AT1048509"/>
      <c r="AU1048509"/>
      <c r="AV1048509"/>
      <c r="AW1048509" s="3"/>
      <c r="AX1048509" s="3"/>
      <c r="AY1048509" s="3"/>
      <c r="AZ1048509" s="181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</row>
  </sheetData>
  <dataConsolidate/>
  <mergeCells count="32">
    <mergeCell ref="AZ1:BD1"/>
    <mergeCell ref="AS1:AW1"/>
    <mergeCell ref="AK1:AO1"/>
    <mergeCell ref="AK2:AO2"/>
    <mergeCell ref="B2:J2"/>
    <mergeCell ref="S1:T1"/>
    <mergeCell ref="V1:Z1"/>
    <mergeCell ref="W3:Z3"/>
    <mergeCell ref="AC1:AH1"/>
    <mergeCell ref="B31:J31"/>
    <mergeCell ref="B32:J32"/>
    <mergeCell ref="B33:J33"/>
    <mergeCell ref="C10:J10"/>
    <mergeCell ref="B11:J11"/>
    <mergeCell ref="I4:I7"/>
    <mergeCell ref="J4:J7"/>
    <mergeCell ref="B1:J1"/>
    <mergeCell ref="L1:N1"/>
    <mergeCell ref="P1:Q1"/>
    <mergeCell ref="B59:J59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</mergeCells>
  <conditionalFormatting sqref="C12:J12">
    <cfRule type="expression" dxfId="9" priority="2">
      <formula>$K$12&lt;&gt;"OK"</formula>
    </cfRule>
  </conditionalFormatting>
  <conditionalFormatting sqref="J4:J7">
    <cfRule type="expression" dxfId="8" priority="1">
      <formula>$K$4&lt;&gt;"OK"</formula>
    </cfRule>
  </conditionalFormatting>
  <dataValidations count="21">
    <dataValidation type="list" errorStyle="warning" errorTitle="Validação" error="Favor preencher conforme a lista!" sqref="HT4:HV4">
      <formula1>#REF!</formula1>
    </dataValidation>
    <dataValidation type="list" allowBlank="1" sqref="IA3 HT25:IA29 HS31:IA31 HT17:IA17">
      <formula1>#REF!</formula1>
    </dataValidation>
    <dataValidation type="list" allowBlank="1" errorTitle="Validação" error="Favor preencher conforme a lista!" sqref="HT8:IA9">
      <formula1>#REF!</formula1>
    </dataValidation>
    <dataValidation type="list" allowBlank="1" sqref="HX5:HY5">
      <formula1>$L$3:$L$15</formula1>
    </dataValidation>
    <dataValidation type="list" allowBlank="1" sqref="HT15:IA15">
      <formula1>$S$3:$S$4</formula1>
    </dataValidation>
    <dataValidation type="list" allowBlank="1" sqref="HT20:IA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F3">
      <formula1>0</formula1>
    </dataValidation>
    <dataValidation type="list" allowBlank="1" showInputMessage="1" showErrorMessage="1" sqref="C13:J13">
      <formula1>LINHA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 E28">
      <formula1>IMPRESSAO</formula1>
    </dataValidation>
    <dataValidation type="list" allowBlank="1" showInputMessage="1" showErrorMessage="1" sqref="G29:J29 C29 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88">
    <tabColor indexed="13"/>
    <pageSetUpPr fitToPage="1"/>
  </sheetPr>
  <dimension ref="A1:IL1048509"/>
  <sheetViews>
    <sheetView showGridLines="0" topLeftCell="Y1" zoomScale="55" zoomScaleNormal="55" zoomScaleSheetLayoutView="85" workbookViewId="0">
      <selection activeCell="AJ4" sqref="AJ4:AJ8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25.85546875" bestFit="1" customWidth="1"/>
    <col min="30" max="30" width="19" customWidth="1"/>
    <col min="31" max="31" width="23.5703125" customWidth="1"/>
    <col min="32" max="32" width="23.7109375" customWidth="1"/>
    <col min="33" max="33" width="29" customWidth="1"/>
    <col min="34" max="34" width="10" customWidth="1"/>
    <col min="35" max="35" width="4.7109375" customWidth="1"/>
    <col min="36" max="36" width="31" bestFit="1" customWidth="1"/>
    <col min="37" max="37" width="18.5703125" bestFit="1" customWidth="1"/>
    <col min="38" max="38" width="41.140625" bestFit="1" customWidth="1"/>
    <col min="39" max="39" width="16" bestFit="1" customWidth="1"/>
    <col min="40" max="40" width="20.140625" bestFit="1" customWidth="1"/>
    <col min="41" max="43" width="9.140625" style="3" customWidth="1"/>
    <col min="44" max="47" width="29.140625" customWidth="1"/>
    <col min="48" max="48" width="28" style="3" bestFit="1" customWidth="1"/>
    <col min="49" max="50" width="9.140625" style="3" customWidth="1"/>
    <col min="51" max="51" width="4.28515625" style="181" bestFit="1" customWidth="1"/>
    <col min="52" max="52" width="39.42578125" style="3" bestFit="1" customWidth="1"/>
    <col min="53" max="53" width="6.140625" style="3" bestFit="1" customWidth="1"/>
    <col min="54" max="54" width="7.7109375" style="3" bestFit="1" customWidth="1"/>
    <col min="55" max="55" width="20.85546875" style="3" bestFit="1" customWidth="1"/>
    <col min="56" max="57" width="12.28515625" style="3" bestFit="1" customWidth="1"/>
    <col min="58" max="58" width="10" style="3" bestFit="1" customWidth="1"/>
    <col min="59" max="59" width="9.42578125" style="3" bestFit="1" customWidth="1"/>
    <col min="60" max="224" width="9.140625" style="3" customWidth="1"/>
    <col min="225" max="225" width="28.7109375" style="3" customWidth="1"/>
    <col min="226" max="226" width="39.140625" style="3" customWidth="1"/>
    <col min="227" max="229" width="19.7109375" style="3" customWidth="1"/>
    <col min="230" max="230" width="21.5703125" style="3" customWidth="1"/>
    <col min="231" max="233" width="19.7109375" style="3" customWidth="1"/>
    <col min="234" max="234" width="37.85546875" style="3" customWidth="1"/>
    <col min="235" max="235" width="26.85546875" style="3" customWidth="1"/>
    <col min="236" max="236" width="36.7109375" style="3" customWidth="1"/>
    <col min="237" max="237" width="3" style="3" customWidth="1"/>
    <col min="238" max="238" width="30" style="3" customWidth="1"/>
    <col min="239" max="239" width="25.5703125" style="3" customWidth="1"/>
    <col min="240" max="240" width="19.140625" style="3" customWidth="1"/>
    <col min="241" max="241" width="7.28515625" style="3" customWidth="1"/>
    <col min="242" max="242" width="10.85546875" style="3" customWidth="1"/>
    <col min="243" max="243" width="13.5703125" style="3" customWidth="1"/>
    <col min="244" max="244" width="22.85546875" style="3" customWidth="1"/>
    <col min="245" max="245" width="34.7109375" style="3" customWidth="1"/>
    <col min="246" max="246" width="19.7109375" style="3" customWidth="1"/>
    <col min="247" max="16384" width="9.140625" style="3"/>
  </cols>
  <sheetData>
    <row r="1" spans="1:55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3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97" t="s">
        <v>1237</v>
      </c>
      <c r="AD1" s="397"/>
      <c r="AE1" s="397"/>
      <c r="AF1" s="397"/>
      <c r="AG1" s="397"/>
      <c r="AH1" s="397"/>
      <c r="AI1"/>
      <c r="AJ1" s="397" t="s">
        <v>1239</v>
      </c>
      <c r="AK1" s="397"/>
      <c r="AL1" s="397"/>
      <c r="AM1" s="397"/>
      <c r="AN1" s="397"/>
      <c r="AR1" s="397" t="s">
        <v>1234</v>
      </c>
      <c r="AS1" s="397"/>
      <c r="AT1" s="397"/>
      <c r="AU1" s="397"/>
      <c r="AV1" s="397"/>
      <c r="AY1" s="397" t="s">
        <v>626</v>
      </c>
      <c r="AZ1" s="397"/>
      <c r="BA1" s="397"/>
      <c r="BB1" s="397"/>
      <c r="BC1" s="397"/>
    </row>
    <row r="2" spans="1:55" s="2" customFormat="1" ht="21.75" thickBot="1">
      <c r="A2" s="29"/>
      <c r="B2" s="420" t="s">
        <v>578</v>
      </c>
      <c r="C2" s="421"/>
      <c r="D2" s="421"/>
      <c r="E2" s="421"/>
      <c r="F2" s="421"/>
      <c r="G2" s="421"/>
      <c r="H2" s="421"/>
      <c r="I2" s="421"/>
      <c r="J2" s="422"/>
      <c r="K2" s="46"/>
      <c r="L2" s="15" t="s">
        <v>598</v>
      </c>
      <c r="M2" s="15" t="s">
        <v>627</v>
      </c>
      <c r="N2" s="15" t="s">
        <v>628</v>
      </c>
      <c r="O2" s="14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1283</v>
      </c>
      <c r="AD2" s="15" t="s">
        <v>1282</v>
      </c>
      <c r="AE2" s="15" t="s">
        <v>1238</v>
      </c>
      <c r="AF2" s="15" t="s">
        <v>1260</v>
      </c>
      <c r="AG2" s="15" t="s">
        <v>1262</v>
      </c>
      <c r="AH2" s="15" t="s">
        <v>1235</v>
      </c>
      <c r="AI2"/>
      <c r="AJ2" s="417" t="s">
        <v>1240</v>
      </c>
      <c r="AK2" s="418"/>
      <c r="AL2" s="418"/>
      <c r="AM2" s="418"/>
      <c r="AN2" s="419"/>
      <c r="AR2" s="15" t="s">
        <v>1232</v>
      </c>
      <c r="AS2" s="15" t="s">
        <v>1231</v>
      </c>
      <c r="AT2" s="15" t="s">
        <v>590</v>
      </c>
      <c r="AU2" s="15" t="s">
        <v>1233</v>
      </c>
      <c r="AV2" s="15" t="s">
        <v>590</v>
      </c>
      <c r="AY2" s="178" t="s">
        <v>1275</v>
      </c>
      <c r="AZ2" s="15" t="s">
        <v>598</v>
      </c>
      <c r="BA2" s="15" t="s">
        <v>627</v>
      </c>
      <c r="BB2" s="15" t="s">
        <v>628</v>
      </c>
      <c r="BC2" s="15" t="s">
        <v>590</v>
      </c>
    </row>
    <row r="3" spans="1:55" s="5" customFormat="1" ht="56.25" customHeight="1">
      <c r="A3" s="430" t="s">
        <v>591</v>
      </c>
      <c r="B3" s="182" t="s">
        <v>592</v>
      </c>
      <c r="C3" s="368" t="s">
        <v>1285</v>
      </c>
      <c r="D3" s="369"/>
      <c r="E3" s="370"/>
      <c r="F3" s="135" t="s">
        <v>1274</v>
      </c>
      <c r="G3" s="433" t="s">
        <v>1288</v>
      </c>
      <c r="H3" s="434"/>
      <c r="I3" s="4" t="s">
        <v>577</v>
      </c>
      <c r="J3" s="102" t="s">
        <v>1289</v>
      </c>
      <c r="K3" s="45"/>
      <c r="L3" s="70" t="s">
        <v>1197</v>
      </c>
      <c r="M3" s="48" t="s">
        <v>1198</v>
      </c>
      <c r="N3" s="48" t="s">
        <v>1199</v>
      </c>
      <c r="O3" s="3"/>
      <c r="P3" s="32" t="s">
        <v>1291</v>
      </c>
      <c r="Q3" s="66" t="s">
        <v>1296</v>
      </c>
      <c r="S3" s="32" t="s">
        <v>1307</v>
      </c>
      <c r="T3" s="55" t="s">
        <v>1308</v>
      </c>
      <c r="V3" s="57">
        <v>0</v>
      </c>
      <c r="W3" s="394" t="s">
        <v>1310</v>
      </c>
      <c r="X3" s="395"/>
      <c r="Y3" s="395"/>
      <c r="Z3" s="396"/>
      <c r="AB3" s="170">
        <v>1</v>
      </c>
      <c r="AC3" s="168"/>
      <c r="AD3" s="168"/>
      <c r="AE3" s="169"/>
      <c r="AF3" s="165">
        <f>(AE3-AG3)/(1-AH3)</f>
        <v>0</v>
      </c>
      <c r="AG3" s="166">
        <f>IF(AND(AE3&gt;$AM$4,AE3&lt;=$AN$4),$AL$4,IF(AND(AE3&gt;$AM$5,AE3&lt;=$AN$5),$AL$5,IF(AND(AE3&gt;$AM$6,AE3&lt;=$AN$6),$AL$6,IF(AND(AE3&gt;$AM$7,AE3&lt;=$AN$7),$AL$8,IF(AND(AE3&gt;$AM$8,AE3&lt;=$AN$8),$AL$8,0)))))</f>
        <v>0</v>
      </c>
      <c r="AH3" s="167">
        <f>IF(AND(AE3&gt;$AM$4,AE3&lt;=$AN$4),$AK$4,IF(AND(AE3&gt;$AM$5,AE3&lt;=$AN$5),$AK$5,IF(AND(AE3&gt;$AM$6,AE3&lt;=$AN$6),$AK$6,IF(AND(AE3&gt;$AM$7,AE3&lt;=$AN$7),$AK$8,IF(AND(AE3&gt;$AM$8,AE3&lt;=$AN$8),$AK$8,0)))))</f>
        <v>0</v>
      </c>
      <c r="AI3"/>
      <c r="AJ3" s="164"/>
      <c r="AK3" s="164" t="s">
        <v>1242</v>
      </c>
      <c r="AL3" s="164" t="s">
        <v>1243</v>
      </c>
      <c r="AM3" s="164" t="s">
        <v>1279</v>
      </c>
      <c r="AN3" s="164" t="s">
        <v>1280</v>
      </c>
      <c r="AR3" s="106">
        <v>4</v>
      </c>
      <c r="AS3" s="136">
        <v>460</v>
      </c>
      <c r="AT3" s="41" t="s">
        <v>1162</v>
      </c>
      <c r="AU3" s="118" t="s">
        <v>1229</v>
      </c>
      <c r="AV3" s="41" t="s">
        <v>1162</v>
      </c>
      <c r="AY3" s="168">
        <v>11</v>
      </c>
      <c r="AZ3" s="107" t="s">
        <v>1217</v>
      </c>
      <c r="BA3" s="114" t="s">
        <v>1208</v>
      </c>
      <c r="BB3" s="114" t="s">
        <v>1209</v>
      </c>
      <c r="BC3" s="120" t="s">
        <v>1230</v>
      </c>
    </row>
    <row r="4" spans="1:55" s="5" customFormat="1" ht="42" customHeight="1">
      <c r="A4" s="431"/>
      <c r="B4" s="6" t="s">
        <v>579</v>
      </c>
      <c r="C4" s="445" t="s">
        <v>502</v>
      </c>
      <c r="D4" s="446"/>
      <c r="E4" s="447"/>
      <c r="F4" s="135" t="s">
        <v>1195</v>
      </c>
      <c r="G4" s="433"/>
      <c r="H4" s="434"/>
      <c r="I4" s="409" t="s">
        <v>1133</v>
      </c>
      <c r="J4" s="448">
        <v>0</v>
      </c>
      <c r="K4" s="45" t="e">
        <f>IF(VALUE(J4)-SUMIF(C12:J12,"X",#REF!)&gt;0,"OK","N.OK")</f>
        <v>#REF!</v>
      </c>
      <c r="L4" s="70" t="s">
        <v>1200</v>
      </c>
      <c r="M4" s="48" t="s">
        <v>1198</v>
      </c>
      <c r="N4" s="49" t="s">
        <v>1199</v>
      </c>
      <c r="O4" s="3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68"/>
      <c r="AD4" s="168"/>
      <c r="AE4" s="169"/>
      <c r="AF4" s="165">
        <f t="shared" ref="AF4:AF27" si="0">(AE4-AG4)/(1-AH4)</f>
        <v>0</v>
      </c>
      <c r="AG4" s="166">
        <f t="shared" ref="AG4:AG27" si="1">IF(AND(AE4&gt;$AM$4,AE4&lt;=$AN$4),$AL$4,IF(AND(AE4&gt;$AM$5,AE4&lt;=$AN$5),$AL$5,IF(AND(AE4&gt;$AM$6,AE4&lt;=$AN$6),$AL$6,IF(AND(AE4&gt;$AM$7,AE4&lt;=$AN$7),$AL$8,IF(AND(AE4&gt;$AM$8,AE4&lt;=$AN$8),$AL$8,0)))))</f>
        <v>0</v>
      </c>
      <c r="AH4" s="174">
        <f t="shared" ref="AH4:AH27" si="2">IF(AND(AE4&gt;$AM$4,AE4&lt;=$AN$4),$AK$4,IF(AND(AE4&gt;$AM$5,AE4&lt;=$AN$5),$AK$5,IF(AND(AE4&gt;$AM$6,AE4&lt;=$AN$6),$AK$6,IF(AND(AE4&gt;$AM$7,AE4&lt;=$AN$7),$AK$8,IF(AND(AE4&gt;$AM$8,AE4&lt;=$AN$8),$AK$8,0)))))</f>
        <v>0</v>
      </c>
      <c r="AI4"/>
      <c r="AJ4" s="123" t="s">
        <v>1244</v>
      </c>
      <c r="AK4" s="175" t="s">
        <v>1245</v>
      </c>
      <c r="AL4" s="183" t="s">
        <v>1245</v>
      </c>
      <c r="AM4" s="125">
        <v>1</v>
      </c>
      <c r="AN4" s="125">
        <v>1787.77</v>
      </c>
      <c r="AR4" s="106">
        <v>8</v>
      </c>
      <c r="AS4" s="136">
        <v>860</v>
      </c>
      <c r="AT4" s="107" t="s">
        <v>1162</v>
      </c>
      <c r="AU4" s="118" t="s">
        <v>1229</v>
      </c>
      <c r="AV4" s="107" t="s">
        <v>1162</v>
      </c>
      <c r="AY4" s="168">
        <v>12</v>
      </c>
      <c r="AZ4" s="107" t="s">
        <v>1218</v>
      </c>
      <c r="BA4" s="111" t="s">
        <v>1203</v>
      </c>
      <c r="BB4" s="112" t="s">
        <v>1204</v>
      </c>
      <c r="BC4" s="119" t="s">
        <v>1229</v>
      </c>
    </row>
    <row r="5" spans="1:55" s="5" customFormat="1" ht="33.75" customHeight="1">
      <c r="A5" s="431"/>
      <c r="B5" s="182" t="s">
        <v>593</v>
      </c>
      <c r="C5" s="449" t="s">
        <v>1286</v>
      </c>
      <c r="D5" s="450"/>
      <c r="E5" s="450"/>
      <c r="F5" s="450"/>
      <c r="G5" s="450"/>
      <c r="H5" s="451"/>
      <c r="I5" s="410"/>
      <c r="J5" s="448"/>
      <c r="K5" s="45"/>
      <c r="L5" s="70" t="s">
        <v>1201</v>
      </c>
      <c r="M5" s="49" t="s">
        <v>1198</v>
      </c>
      <c r="N5" s="49" t="s">
        <v>1199</v>
      </c>
      <c r="O5" s="3"/>
      <c r="P5" s="32" t="s">
        <v>1299</v>
      </c>
      <c r="Q5" s="66" t="s">
        <v>1300</v>
      </c>
      <c r="T5" s="56"/>
      <c r="AB5" s="170">
        <v>3</v>
      </c>
      <c r="AC5" s="168"/>
      <c r="AD5" s="168"/>
      <c r="AE5" s="169"/>
      <c r="AF5" s="165">
        <f t="shared" si="0"/>
        <v>0</v>
      </c>
      <c r="AG5" s="166">
        <f t="shared" si="1"/>
        <v>0</v>
      </c>
      <c r="AH5" s="174">
        <f t="shared" si="2"/>
        <v>0</v>
      </c>
      <c r="AI5"/>
      <c r="AJ5" s="123" t="s">
        <v>1246</v>
      </c>
      <c r="AK5" s="175">
        <v>7.4999999999999997E-2</v>
      </c>
      <c r="AL5" s="125">
        <v>134.08000000000001</v>
      </c>
      <c r="AM5" s="125">
        <v>1787.78</v>
      </c>
      <c r="AN5" s="125">
        <v>2679.29</v>
      </c>
      <c r="AR5" s="106">
        <v>12</v>
      </c>
      <c r="AS5" s="136">
        <v>1260</v>
      </c>
      <c r="AT5" s="107" t="s">
        <v>1162</v>
      </c>
      <c r="AU5" s="118" t="s">
        <v>1229</v>
      </c>
      <c r="AV5" s="107" t="s">
        <v>1162</v>
      </c>
      <c r="AY5" s="168">
        <v>18</v>
      </c>
      <c r="AZ5" s="107" t="s">
        <v>1226</v>
      </c>
      <c r="BA5" s="116" t="s">
        <v>1212</v>
      </c>
      <c r="BB5" s="116" t="s">
        <v>1213</v>
      </c>
      <c r="BC5" s="119" t="s">
        <v>1229</v>
      </c>
    </row>
    <row r="6" spans="1:55" s="5" customFormat="1" ht="25.5" customHeight="1">
      <c r="A6" s="431"/>
      <c r="B6" s="379" t="s">
        <v>594</v>
      </c>
      <c r="C6" s="452" t="s">
        <v>1287</v>
      </c>
      <c r="D6" s="453"/>
      <c r="E6" s="453"/>
      <c r="F6" s="453"/>
      <c r="G6" s="453"/>
      <c r="H6" s="454"/>
      <c r="I6" s="410"/>
      <c r="J6" s="448"/>
      <c r="K6" s="45"/>
      <c r="L6" s="70" t="s">
        <v>1202</v>
      </c>
      <c r="M6" s="50" t="s">
        <v>1203</v>
      </c>
      <c r="N6" s="50" t="s">
        <v>1204</v>
      </c>
      <c r="O6" s="3"/>
      <c r="P6" s="32" t="s">
        <v>1301</v>
      </c>
      <c r="Q6" s="66" t="s">
        <v>1302</v>
      </c>
      <c r="T6" s="56"/>
      <c r="AB6" s="171">
        <v>4</v>
      </c>
      <c r="AC6" s="168"/>
      <c r="AD6" s="168"/>
      <c r="AE6" s="169"/>
      <c r="AF6" s="165">
        <f t="shared" si="0"/>
        <v>0</v>
      </c>
      <c r="AG6" s="166">
        <f t="shared" si="1"/>
        <v>0</v>
      </c>
      <c r="AH6" s="174">
        <f t="shared" si="2"/>
        <v>0</v>
      </c>
      <c r="AI6"/>
      <c r="AJ6" s="123" t="s">
        <v>1248</v>
      </c>
      <c r="AK6" s="175">
        <v>0.15</v>
      </c>
      <c r="AL6" s="183">
        <v>335.03</v>
      </c>
      <c r="AM6" s="183">
        <v>2679.3</v>
      </c>
      <c r="AN6" s="183">
        <v>3572.43</v>
      </c>
      <c r="AR6" s="106">
        <v>16</v>
      </c>
      <c r="AS6" s="136">
        <v>1710</v>
      </c>
      <c r="AT6" s="107" t="s">
        <v>1162</v>
      </c>
      <c r="AU6" s="118" t="s">
        <v>1229</v>
      </c>
      <c r="AV6" s="107" t="s">
        <v>1162</v>
      </c>
      <c r="AY6" s="168">
        <v>19</v>
      </c>
      <c r="AZ6" s="107" t="s">
        <v>1227</v>
      </c>
      <c r="BA6" s="116" t="s">
        <v>1225</v>
      </c>
      <c r="BB6" s="116" t="s">
        <v>1212</v>
      </c>
      <c r="BC6" s="119" t="s">
        <v>1229</v>
      </c>
    </row>
    <row r="7" spans="1:55" s="5" customFormat="1" ht="25.5" customHeight="1">
      <c r="A7" s="431"/>
      <c r="B7" s="379"/>
      <c r="C7" s="455"/>
      <c r="D7" s="456"/>
      <c r="E7" s="456"/>
      <c r="F7" s="456"/>
      <c r="G7" s="456"/>
      <c r="H7" s="457"/>
      <c r="I7" s="411"/>
      <c r="J7" s="448"/>
      <c r="K7" s="45"/>
      <c r="L7" s="70" t="s">
        <v>1205</v>
      </c>
      <c r="M7" s="51" t="s">
        <v>1203</v>
      </c>
      <c r="N7" s="49" t="s">
        <v>1204</v>
      </c>
      <c r="O7" s="3"/>
      <c r="P7" s="32" t="s">
        <v>1303</v>
      </c>
      <c r="Q7" s="67" t="s">
        <v>1304</v>
      </c>
      <c r="T7" s="56"/>
      <c r="AB7" s="170">
        <v>5</v>
      </c>
      <c r="AC7" s="168"/>
      <c r="AD7" s="168"/>
      <c r="AE7" s="169"/>
      <c r="AF7" s="165">
        <f t="shared" si="0"/>
        <v>0</v>
      </c>
      <c r="AG7" s="166">
        <f t="shared" si="1"/>
        <v>0</v>
      </c>
      <c r="AH7" s="174">
        <f t="shared" si="2"/>
        <v>0</v>
      </c>
      <c r="AI7"/>
      <c r="AJ7" s="123" t="s">
        <v>1249</v>
      </c>
      <c r="AK7" s="175">
        <v>0.22500000000000001</v>
      </c>
      <c r="AL7" s="183">
        <v>602.96</v>
      </c>
      <c r="AM7" s="183">
        <v>3572.44</v>
      </c>
      <c r="AN7" s="183">
        <v>4463.8100000000004</v>
      </c>
      <c r="AR7" s="106">
        <v>20</v>
      </c>
      <c r="AS7" s="136">
        <v>2110</v>
      </c>
      <c r="AT7" s="107" t="s">
        <v>1162</v>
      </c>
      <c r="AU7" s="118" t="s">
        <v>1229</v>
      </c>
      <c r="AV7" s="107" t="s">
        <v>1162</v>
      </c>
      <c r="AY7" s="168">
        <v>1</v>
      </c>
      <c r="AZ7" s="107" t="s">
        <v>1197</v>
      </c>
      <c r="BA7" s="111" t="s">
        <v>1198</v>
      </c>
      <c r="BB7" s="111" t="s">
        <v>1199</v>
      </c>
      <c r="BC7" s="119" t="s">
        <v>1229</v>
      </c>
    </row>
    <row r="8" spans="1:55" s="5" customFormat="1" ht="25.5" customHeight="1">
      <c r="A8" s="431"/>
      <c r="B8" s="6" t="s">
        <v>595</v>
      </c>
      <c r="C8" s="425"/>
      <c r="D8" s="425"/>
      <c r="E8" s="425"/>
      <c r="F8" s="425"/>
      <c r="G8" s="425"/>
      <c r="H8" s="425"/>
      <c r="I8" s="425"/>
      <c r="J8" s="426"/>
      <c r="K8" s="45"/>
      <c r="L8" s="70" t="s">
        <v>1206</v>
      </c>
      <c r="M8" s="52" t="s">
        <v>1198</v>
      </c>
      <c r="N8" s="49" t="s">
        <v>1199</v>
      </c>
      <c r="O8" s="3"/>
      <c r="P8" s="32" t="s">
        <v>1305</v>
      </c>
      <c r="Q8" s="67" t="s">
        <v>1306</v>
      </c>
      <c r="T8" s="56"/>
      <c r="AB8" s="171">
        <v>6</v>
      </c>
      <c r="AC8" s="168"/>
      <c r="AD8" s="168"/>
      <c r="AE8" s="169"/>
      <c r="AF8" s="165">
        <f t="shared" si="0"/>
        <v>0</v>
      </c>
      <c r="AG8" s="166">
        <f t="shared" si="1"/>
        <v>0</v>
      </c>
      <c r="AH8" s="174">
        <f t="shared" si="2"/>
        <v>0</v>
      </c>
      <c r="AI8"/>
      <c r="AJ8" s="123" t="s">
        <v>1251</v>
      </c>
      <c r="AK8" s="175">
        <v>0.27500000000000002</v>
      </c>
      <c r="AL8" s="183">
        <v>826.15</v>
      </c>
      <c r="AM8" s="183">
        <v>4463.82</v>
      </c>
      <c r="AN8" s="183">
        <v>1000000</v>
      </c>
      <c r="AR8" s="106">
        <v>24</v>
      </c>
      <c r="AS8" s="136">
        <v>2560</v>
      </c>
      <c r="AT8" s="107" t="s">
        <v>1162</v>
      </c>
      <c r="AU8" s="118" t="s">
        <v>1229</v>
      </c>
      <c r="AV8" s="107" t="s">
        <v>1162</v>
      </c>
      <c r="AY8" s="168">
        <v>16</v>
      </c>
      <c r="AZ8" s="107" t="s">
        <v>1223</v>
      </c>
      <c r="BA8" s="117" t="s">
        <v>1212</v>
      </c>
      <c r="BB8" s="117" t="s">
        <v>1213</v>
      </c>
      <c r="BC8" s="119" t="s">
        <v>1229</v>
      </c>
    </row>
    <row r="9" spans="1:55" s="5" customFormat="1" ht="25.5" customHeight="1">
      <c r="A9" s="431"/>
      <c r="B9" s="6" t="s">
        <v>596</v>
      </c>
      <c r="C9" s="425"/>
      <c r="D9" s="425"/>
      <c r="E9" s="425"/>
      <c r="F9" s="425"/>
      <c r="G9" s="425"/>
      <c r="H9" s="425"/>
      <c r="I9" s="425"/>
      <c r="J9" s="426"/>
      <c r="K9" s="45"/>
      <c r="L9" s="70" t="s">
        <v>1207</v>
      </c>
      <c r="M9" s="52" t="s">
        <v>1208</v>
      </c>
      <c r="N9" s="49" t="s">
        <v>1209</v>
      </c>
      <c r="O9" s="14"/>
      <c r="P9" s="14"/>
      <c r="Q9" s="54"/>
      <c r="T9" s="56"/>
      <c r="AB9" s="170">
        <v>7</v>
      </c>
      <c r="AC9" s="168"/>
      <c r="AD9" s="168"/>
      <c r="AE9" s="169"/>
      <c r="AF9" s="165">
        <f t="shared" si="0"/>
        <v>0</v>
      </c>
      <c r="AG9" s="166">
        <f t="shared" si="1"/>
        <v>0</v>
      </c>
      <c r="AH9" s="174">
        <f t="shared" si="2"/>
        <v>0</v>
      </c>
      <c r="AI9"/>
      <c r="AJ9"/>
      <c r="AK9"/>
      <c r="AL9"/>
      <c r="AM9"/>
      <c r="AN9"/>
      <c r="AR9" s="106">
        <v>28</v>
      </c>
      <c r="AS9" s="136">
        <v>2961</v>
      </c>
      <c r="AT9" s="107" t="s">
        <v>1162</v>
      </c>
      <c r="AU9" s="118" t="s">
        <v>1229</v>
      </c>
      <c r="AV9" s="107" t="s">
        <v>1162</v>
      </c>
      <c r="AY9" s="168">
        <v>17</v>
      </c>
      <c r="AZ9" s="107" t="s">
        <v>1224</v>
      </c>
      <c r="BA9" s="116" t="s">
        <v>1225</v>
      </c>
      <c r="BB9" s="116" t="s">
        <v>1212</v>
      </c>
      <c r="BC9" s="119" t="s">
        <v>1229</v>
      </c>
    </row>
    <row r="10" spans="1:55" s="5" customFormat="1" ht="25.5" customHeight="1">
      <c r="A10" s="431"/>
      <c r="B10" s="182" t="s">
        <v>1130</v>
      </c>
      <c r="C10" s="427"/>
      <c r="D10" s="428"/>
      <c r="E10" s="428"/>
      <c r="F10" s="428"/>
      <c r="G10" s="428"/>
      <c r="H10" s="428"/>
      <c r="I10" s="428"/>
      <c r="J10" s="429"/>
      <c r="K10" s="45"/>
      <c r="L10" s="70" t="s">
        <v>1210</v>
      </c>
      <c r="M10" s="52" t="s">
        <v>1204</v>
      </c>
      <c r="N10" s="49" t="s">
        <v>1208</v>
      </c>
      <c r="O10" s="14"/>
      <c r="P10" s="14"/>
      <c r="AB10" s="171">
        <v>8</v>
      </c>
      <c r="AC10" s="168"/>
      <c r="AD10" s="168"/>
      <c r="AE10" s="169"/>
      <c r="AF10" s="165">
        <f t="shared" si="0"/>
        <v>0</v>
      </c>
      <c r="AG10" s="166">
        <f t="shared" si="1"/>
        <v>0</v>
      </c>
      <c r="AH10" s="174">
        <f t="shared" si="2"/>
        <v>0</v>
      </c>
      <c r="AI10"/>
      <c r="AJ10"/>
      <c r="AK10"/>
      <c r="AL10"/>
      <c r="AM10"/>
      <c r="AN10"/>
      <c r="AR10" s="106">
        <v>32</v>
      </c>
      <c r="AS10" s="136">
        <v>3370</v>
      </c>
      <c r="AT10" s="107" t="s">
        <v>1162</v>
      </c>
      <c r="AU10" s="118" t="s">
        <v>1229</v>
      </c>
      <c r="AV10" s="107" t="s">
        <v>1162</v>
      </c>
      <c r="AY10" s="168">
        <v>20</v>
      </c>
      <c r="AZ10" s="107" t="s">
        <v>1228</v>
      </c>
      <c r="BA10" s="116" t="s">
        <v>1212</v>
      </c>
      <c r="BB10" s="116" t="s">
        <v>1212</v>
      </c>
      <c r="BC10" s="119" t="s">
        <v>1229</v>
      </c>
    </row>
    <row r="11" spans="1:55" s="5" customFormat="1" ht="25.5" customHeight="1">
      <c r="A11" s="431"/>
      <c r="B11" s="406" t="s">
        <v>597</v>
      </c>
      <c r="C11" s="407"/>
      <c r="D11" s="407"/>
      <c r="E11" s="407"/>
      <c r="F11" s="407"/>
      <c r="G11" s="407"/>
      <c r="H11" s="407"/>
      <c r="I11" s="407"/>
      <c r="J11" s="408"/>
      <c r="K11" s="45"/>
      <c r="L11" s="70" t="s">
        <v>1211</v>
      </c>
      <c r="M11" s="51" t="s">
        <v>1212</v>
      </c>
      <c r="N11" s="51" t="s">
        <v>1213</v>
      </c>
      <c r="O11" s="14"/>
      <c r="P11" s="14"/>
      <c r="AB11" s="170">
        <v>9</v>
      </c>
      <c r="AC11" s="168"/>
      <c r="AD11" s="168"/>
      <c r="AE11" s="169"/>
      <c r="AF11" s="165">
        <f t="shared" si="0"/>
        <v>0</v>
      </c>
      <c r="AG11" s="166">
        <f t="shared" si="1"/>
        <v>0</v>
      </c>
      <c r="AH11" s="174">
        <f t="shared" si="2"/>
        <v>0</v>
      </c>
      <c r="AI11"/>
      <c r="AJ11" s="162"/>
      <c r="AK11"/>
      <c r="AL11"/>
      <c r="AM11"/>
      <c r="AN11"/>
      <c r="AR11" s="106">
        <v>36</v>
      </c>
      <c r="AS11" s="136">
        <v>3791</v>
      </c>
      <c r="AT11" s="107" t="s">
        <v>1162</v>
      </c>
      <c r="AU11" s="118" t="s">
        <v>1229</v>
      </c>
      <c r="AV11" s="107" t="s">
        <v>1162</v>
      </c>
      <c r="AY11" s="168">
        <v>13</v>
      </c>
      <c r="AZ11" s="107" t="s">
        <v>1219</v>
      </c>
      <c r="BA11" s="113" t="s">
        <v>1198</v>
      </c>
      <c r="BB11" s="113" t="s">
        <v>1208</v>
      </c>
      <c r="BC11" s="119" t="s">
        <v>1229</v>
      </c>
    </row>
    <row r="12" spans="1:55" s="7" customFormat="1" ht="25.5" customHeight="1">
      <c r="A12" s="431"/>
      <c r="B12" s="182" t="s">
        <v>1169</v>
      </c>
      <c r="C12" s="201"/>
      <c r="D12" s="201"/>
      <c r="E12" s="201"/>
      <c r="F12" s="202"/>
      <c r="G12" s="202"/>
      <c r="H12" s="202"/>
      <c r="I12" s="202"/>
      <c r="J12" s="202"/>
      <c r="K12" s="45" t="str">
        <f>IF(COUNTIF(C12:J12,"X")&gt;0,"OK","N.OK")</f>
        <v>N.OK</v>
      </c>
      <c r="L12" s="70" t="s">
        <v>1214</v>
      </c>
      <c r="M12" s="51" t="s">
        <v>1215</v>
      </c>
      <c r="N12" s="51" t="s">
        <v>1216</v>
      </c>
      <c r="O12" s="14"/>
      <c r="P12" s="14"/>
      <c r="AB12" s="171">
        <v>10</v>
      </c>
      <c r="AC12" s="168"/>
      <c r="AD12" s="168"/>
      <c r="AE12" s="169"/>
      <c r="AF12" s="165">
        <f t="shared" si="0"/>
        <v>0</v>
      </c>
      <c r="AG12" s="166">
        <f t="shared" si="1"/>
        <v>0</v>
      </c>
      <c r="AH12" s="174">
        <f t="shared" si="2"/>
        <v>0</v>
      </c>
      <c r="AI12"/>
      <c r="AJ12" s="162"/>
      <c r="AK12"/>
      <c r="AL12"/>
      <c r="AM12"/>
      <c r="AN12"/>
      <c r="AR12" s="106">
        <v>40</v>
      </c>
      <c r="AS12" s="136">
        <v>4210</v>
      </c>
      <c r="AT12" s="107" t="s">
        <v>1162</v>
      </c>
      <c r="AU12" s="118" t="s">
        <v>1229</v>
      </c>
      <c r="AV12" s="107" t="s">
        <v>1162</v>
      </c>
      <c r="AY12" s="168">
        <v>15</v>
      </c>
      <c r="AZ12" s="107" t="s">
        <v>1222</v>
      </c>
      <c r="BA12" s="113" t="s">
        <v>1212</v>
      </c>
      <c r="BB12" s="113" t="s">
        <v>1213</v>
      </c>
      <c r="BC12" s="41"/>
    </row>
    <row r="13" spans="1:55" s="7" customFormat="1" ht="31.5" customHeight="1">
      <c r="A13" s="431"/>
      <c r="B13" s="68" t="s">
        <v>1132</v>
      </c>
      <c r="C13" s="197" t="s">
        <v>1206</v>
      </c>
      <c r="D13" s="198" t="s">
        <v>1206</v>
      </c>
      <c r="E13" s="198" t="s">
        <v>1206</v>
      </c>
      <c r="F13" s="197" t="s">
        <v>1206</v>
      </c>
      <c r="G13" s="138"/>
      <c r="H13" s="138"/>
      <c r="I13" s="138"/>
      <c r="J13" s="138"/>
      <c r="K13" s="45"/>
      <c r="L13" s="70" t="s">
        <v>1217</v>
      </c>
      <c r="M13" s="51" t="s">
        <v>1208</v>
      </c>
      <c r="N13" s="51" t="s">
        <v>1209</v>
      </c>
      <c r="O13" s="14"/>
      <c r="P13" s="14"/>
      <c r="AB13" s="170">
        <v>11</v>
      </c>
      <c r="AC13" s="168"/>
      <c r="AD13" s="168"/>
      <c r="AE13" s="169"/>
      <c r="AF13" s="165">
        <f t="shared" si="0"/>
        <v>0</v>
      </c>
      <c r="AG13" s="166">
        <f t="shared" si="1"/>
        <v>0</v>
      </c>
      <c r="AH13" s="174">
        <f t="shared" si="2"/>
        <v>0</v>
      </c>
      <c r="AI13"/>
      <c r="AK13"/>
      <c r="AL13"/>
      <c r="AM13"/>
      <c r="AN13"/>
      <c r="AR13" s="106">
        <v>44</v>
      </c>
      <c r="AS13" s="136">
        <v>4631</v>
      </c>
      <c r="AT13" s="107" t="s">
        <v>1162</v>
      </c>
      <c r="AU13" s="118" t="s">
        <v>1229</v>
      </c>
      <c r="AV13" s="107" t="s">
        <v>1162</v>
      </c>
      <c r="AY13" s="168">
        <v>14</v>
      </c>
      <c r="AZ13" s="107" t="s">
        <v>1220</v>
      </c>
      <c r="BA13" s="116" t="s">
        <v>1209</v>
      </c>
      <c r="BB13" s="114" t="s">
        <v>1221</v>
      </c>
      <c r="BC13" s="119" t="s">
        <v>1229</v>
      </c>
    </row>
    <row r="14" spans="1:55" s="7" customFormat="1" ht="25.5" customHeight="1">
      <c r="A14" s="431"/>
      <c r="B14" s="182" t="s">
        <v>1277</v>
      </c>
      <c r="C14" s="199"/>
      <c r="D14" s="191"/>
      <c r="E14" s="191"/>
      <c r="F14" s="199"/>
      <c r="G14" s="139"/>
      <c r="H14" s="139"/>
      <c r="I14" s="139"/>
      <c r="J14" s="139"/>
      <c r="K14" s="45"/>
      <c r="L14" s="70" t="s">
        <v>1293</v>
      </c>
      <c r="M14" s="51" t="s">
        <v>1208</v>
      </c>
      <c r="N14" s="51" t="s">
        <v>1209</v>
      </c>
      <c r="O14" s="14"/>
      <c r="P14" s="14"/>
      <c r="AB14" s="171">
        <v>12</v>
      </c>
      <c r="AC14" s="168"/>
      <c r="AD14" s="168"/>
      <c r="AE14" s="169"/>
      <c r="AF14" s="165">
        <f t="shared" si="0"/>
        <v>0</v>
      </c>
      <c r="AG14" s="166">
        <f t="shared" si="1"/>
        <v>0</v>
      </c>
      <c r="AH14" s="174">
        <f t="shared" si="2"/>
        <v>0</v>
      </c>
      <c r="AI14"/>
      <c r="AJ14"/>
      <c r="AK14"/>
      <c r="AL14"/>
      <c r="AM14"/>
      <c r="AN14"/>
      <c r="AR14" s="106">
        <v>48</v>
      </c>
      <c r="AS14" s="136">
        <v>5052</v>
      </c>
      <c r="AT14" s="107" t="s">
        <v>1162</v>
      </c>
      <c r="AU14" s="118" t="s">
        <v>1229</v>
      </c>
      <c r="AV14" s="107" t="s">
        <v>1162</v>
      </c>
      <c r="AY14" s="168">
        <v>6</v>
      </c>
      <c r="AZ14" s="107" t="s">
        <v>1206</v>
      </c>
      <c r="BA14" s="115" t="s">
        <v>1198</v>
      </c>
      <c r="BB14" s="112" t="s">
        <v>1199</v>
      </c>
      <c r="BC14" s="120" t="s">
        <v>1230</v>
      </c>
    </row>
    <row r="15" spans="1:55" s="5" customFormat="1" ht="25.5" customHeight="1">
      <c r="A15" s="431"/>
      <c r="B15" s="69" t="s">
        <v>599</v>
      </c>
      <c r="C15" s="195" t="s">
        <v>1290</v>
      </c>
      <c r="D15" s="196" t="s">
        <v>1290</v>
      </c>
      <c r="E15" s="196" t="s">
        <v>1290</v>
      </c>
      <c r="F15" s="196" t="s">
        <v>1290</v>
      </c>
      <c r="G15" s="195"/>
      <c r="H15" s="195"/>
      <c r="I15" s="195"/>
      <c r="J15" s="195"/>
      <c r="K15" s="45"/>
      <c r="L15" s="70" t="s">
        <v>1294</v>
      </c>
      <c r="M15" s="48" t="s">
        <v>1212</v>
      </c>
      <c r="N15" s="49" t="s">
        <v>1213</v>
      </c>
      <c r="O15" s="14"/>
      <c r="P15" s="14"/>
      <c r="AB15" s="170">
        <v>13</v>
      </c>
      <c r="AC15" s="168"/>
      <c r="AD15" s="168"/>
      <c r="AE15" s="169"/>
      <c r="AF15" s="165">
        <f t="shared" si="0"/>
        <v>0</v>
      </c>
      <c r="AG15" s="166">
        <f t="shared" si="1"/>
        <v>0</v>
      </c>
      <c r="AH15" s="174">
        <f t="shared" si="2"/>
        <v>0</v>
      </c>
      <c r="AI15"/>
      <c r="AJ15"/>
      <c r="AK15"/>
      <c r="AL15"/>
      <c r="AM15"/>
      <c r="AN15"/>
      <c r="AR15" s="106">
        <v>4</v>
      </c>
      <c r="AS15" s="136">
        <v>160</v>
      </c>
      <c r="AT15" s="107" t="s">
        <v>1163</v>
      </c>
      <c r="AU15" s="118" t="s">
        <v>1229</v>
      </c>
      <c r="AV15" s="107" t="s">
        <v>1163</v>
      </c>
      <c r="AY15" s="168">
        <v>9</v>
      </c>
      <c r="AZ15" s="107" t="s">
        <v>1211</v>
      </c>
      <c r="BA15" s="114" t="s">
        <v>1212</v>
      </c>
      <c r="BB15" s="114" t="s">
        <v>1213</v>
      </c>
      <c r="BC15" s="41"/>
    </row>
    <row r="16" spans="1:55" s="5" customFormat="1" ht="25.5" customHeight="1">
      <c r="A16" s="431"/>
      <c r="B16" s="75" t="s">
        <v>588</v>
      </c>
      <c r="C16" s="140">
        <f>IF(C$15&lt;&gt;"",(VLOOKUP(C$15,$S$3:$T$4,2,FALSE))*100%,"")</f>
        <v>9.2499999999999999E-2</v>
      </c>
      <c r="D16" s="140">
        <f>IF(D$15&lt;&gt;"",(VLOOKUP(D$15,$S$3:$T$4,2,FALSE))*100%,"")</f>
        <v>9.2499999999999999E-2</v>
      </c>
      <c r="E16" s="140">
        <f t="shared" ref="E16:J16" si="3">IF(E$15&lt;&gt;"",(VLOOKUP(E$15,$S$3:$T$4,2,FALSE))*100%,"")</f>
        <v>9.2499999999999999E-2</v>
      </c>
      <c r="F16" s="140">
        <f t="shared" si="3"/>
        <v>9.2499999999999999E-2</v>
      </c>
      <c r="G16" s="140" t="str">
        <f t="shared" si="3"/>
        <v/>
      </c>
      <c r="H16" s="140" t="str">
        <f t="shared" si="3"/>
        <v/>
      </c>
      <c r="I16" s="140" t="str">
        <f t="shared" si="3"/>
        <v/>
      </c>
      <c r="J16" s="140" t="str">
        <f t="shared" si="3"/>
        <v/>
      </c>
      <c r="K16" s="45"/>
      <c r="L16" s="70" t="s">
        <v>1218</v>
      </c>
      <c r="M16" s="50" t="s">
        <v>1203</v>
      </c>
      <c r="N16" s="50" t="s">
        <v>1204</v>
      </c>
      <c r="O16" s="14"/>
      <c r="P16" s="14"/>
      <c r="AB16" s="171">
        <v>14</v>
      </c>
      <c r="AC16" s="168"/>
      <c r="AD16" s="168"/>
      <c r="AE16" s="169"/>
      <c r="AF16" s="165">
        <f t="shared" si="0"/>
        <v>0</v>
      </c>
      <c r="AG16" s="166">
        <f t="shared" si="1"/>
        <v>0</v>
      </c>
      <c r="AH16" s="174">
        <f t="shared" si="2"/>
        <v>0</v>
      </c>
      <c r="AI16"/>
      <c r="AJ16"/>
      <c r="AK16"/>
      <c r="AL16"/>
      <c r="AM16"/>
      <c r="AN16"/>
      <c r="AR16" s="106">
        <v>8</v>
      </c>
      <c r="AS16" s="136">
        <v>310</v>
      </c>
      <c r="AT16" s="107" t="s">
        <v>1163</v>
      </c>
      <c r="AU16" s="118" t="s">
        <v>1229</v>
      </c>
      <c r="AV16" s="107" t="s">
        <v>1163</v>
      </c>
      <c r="AY16" s="168">
        <v>10</v>
      </c>
      <c r="AZ16" s="107" t="s">
        <v>1214</v>
      </c>
      <c r="BA16" s="114" t="s">
        <v>1215</v>
      </c>
      <c r="BB16" s="114" t="s">
        <v>1216</v>
      </c>
      <c r="BC16" s="41"/>
    </row>
    <row r="17" spans="1:224" s="5" customFormat="1" ht="25.5" customHeight="1" thickBot="1">
      <c r="A17" s="431"/>
      <c r="B17" s="6" t="s">
        <v>601</v>
      </c>
      <c r="C17" s="192" t="s">
        <v>515</v>
      </c>
      <c r="D17" s="192" t="s">
        <v>515</v>
      </c>
      <c r="E17" s="192" t="s">
        <v>514</v>
      </c>
      <c r="F17" s="192" t="s">
        <v>514</v>
      </c>
      <c r="G17" s="192"/>
      <c r="H17" s="192"/>
      <c r="I17" s="192"/>
      <c r="J17" s="192"/>
      <c r="K17" s="45"/>
      <c r="L17" s="70" t="s">
        <v>1295</v>
      </c>
      <c r="M17" s="53" t="s">
        <v>1212</v>
      </c>
      <c r="N17" s="51" t="s">
        <v>1213</v>
      </c>
      <c r="O17" s="14"/>
      <c r="P17" s="14"/>
      <c r="AB17" s="170">
        <v>15</v>
      </c>
      <c r="AC17" s="168"/>
      <c r="AD17" s="168"/>
      <c r="AE17" s="169"/>
      <c r="AF17" s="165">
        <f t="shared" si="0"/>
        <v>0</v>
      </c>
      <c r="AG17" s="166">
        <f t="shared" si="1"/>
        <v>0</v>
      </c>
      <c r="AH17" s="174">
        <f t="shared" si="2"/>
        <v>0</v>
      </c>
      <c r="AI17"/>
      <c r="AJ17"/>
      <c r="AK17"/>
      <c r="AL17"/>
      <c r="AM17"/>
      <c r="AN17"/>
      <c r="AR17" s="106">
        <v>12</v>
      </c>
      <c r="AS17" s="136">
        <v>430</v>
      </c>
      <c r="AT17" s="107" t="s">
        <v>1163</v>
      </c>
      <c r="AU17" s="118" t="s">
        <v>1229</v>
      </c>
      <c r="AV17" s="107" t="s">
        <v>1163</v>
      </c>
      <c r="AY17" s="168">
        <v>8</v>
      </c>
      <c r="AZ17" s="107" t="s">
        <v>1210</v>
      </c>
      <c r="BA17" s="115" t="s">
        <v>1204</v>
      </c>
      <c r="BB17" s="112" t="s">
        <v>1208</v>
      </c>
      <c r="BC17" s="41"/>
    </row>
    <row r="18" spans="1:224" s="5" customFormat="1" ht="25.5" customHeight="1" thickBot="1">
      <c r="A18" s="431"/>
      <c r="B18" s="73" t="s">
        <v>603</v>
      </c>
      <c r="C18" s="193">
        <v>230</v>
      </c>
      <c r="D18" s="193">
        <v>230</v>
      </c>
      <c r="E18" s="193">
        <v>230</v>
      </c>
      <c r="F18" s="193">
        <v>230</v>
      </c>
      <c r="G18" s="193">
        <v>0</v>
      </c>
      <c r="H18" s="193">
        <v>0</v>
      </c>
      <c r="I18" s="193">
        <v>0</v>
      </c>
      <c r="J18" s="193">
        <v>0</v>
      </c>
      <c r="K18" s="45"/>
      <c r="L18" s="70" t="s">
        <v>1220</v>
      </c>
      <c r="M18" s="50" t="s">
        <v>1209</v>
      </c>
      <c r="N18" s="50" t="s">
        <v>1221</v>
      </c>
      <c r="O18" s="14"/>
      <c r="P18" s="14"/>
      <c r="AB18" s="171">
        <v>16</v>
      </c>
      <c r="AC18" s="168"/>
      <c r="AD18" s="168"/>
      <c r="AE18" s="169"/>
      <c r="AF18" s="165">
        <f t="shared" si="0"/>
        <v>0</v>
      </c>
      <c r="AG18" s="166">
        <f t="shared" si="1"/>
        <v>0</v>
      </c>
      <c r="AH18" s="174">
        <f t="shared" si="2"/>
        <v>0</v>
      </c>
      <c r="AI18"/>
      <c r="AJ18"/>
      <c r="AK18"/>
      <c r="AL18"/>
      <c r="AM18"/>
      <c r="AN18"/>
      <c r="AR18" s="106">
        <v>16</v>
      </c>
      <c r="AS18" s="136">
        <v>570</v>
      </c>
      <c r="AT18" s="107" t="s">
        <v>1163</v>
      </c>
      <c r="AU18" s="118" t="s">
        <v>1229</v>
      </c>
      <c r="AV18" s="107" t="s">
        <v>1163</v>
      </c>
      <c r="AY18" s="168">
        <v>7</v>
      </c>
      <c r="AZ18" s="107" t="s">
        <v>1207</v>
      </c>
      <c r="BA18" s="115" t="s">
        <v>1208</v>
      </c>
      <c r="BB18" s="112" t="s">
        <v>1209</v>
      </c>
      <c r="BC18" s="119" t="s">
        <v>1229</v>
      </c>
    </row>
    <row r="19" spans="1:224" s="27" customFormat="1" ht="30.75" customHeight="1">
      <c r="A19" s="431"/>
      <c r="B19" s="26" t="s">
        <v>604</v>
      </c>
      <c r="C19" s="194"/>
      <c r="D19" s="194"/>
      <c r="E19" s="194"/>
      <c r="F19" s="194"/>
      <c r="G19" s="194"/>
      <c r="H19" s="194"/>
      <c r="I19" s="194"/>
      <c r="J19" s="194"/>
      <c r="K19" s="47"/>
      <c r="L19" s="71" t="s">
        <v>1222</v>
      </c>
      <c r="M19" s="85" t="s">
        <v>1212</v>
      </c>
      <c r="N19" s="85" t="s">
        <v>1213</v>
      </c>
      <c r="O19" s="28"/>
      <c r="P19" s="28"/>
      <c r="AB19" s="170">
        <v>17</v>
      </c>
      <c r="AC19" s="168"/>
      <c r="AD19" s="168"/>
      <c r="AE19" s="169"/>
      <c r="AF19" s="165">
        <f t="shared" si="0"/>
        <v>0</v>
      </c>
      <c r="AG19" s="166">
        <f t="shared" si="1"/>
        <v>0</v>
      </c>
      <c r="AH19" s="174">
        <f t="shared" si="2"/>
        <v>0</v>
      </c>
      <c r="AI19"/>
      <c r="AJ19"/>
      <c r="AK19"/>
      <c r="AL19"/>
      <c r="AM19"/>
      <c r="AN19"/>
      <c r="AR19" s="106">
        <v>20</v>
      </c>
      <c r="AS19" s="136">
        <v>710</v>
      </c>
      <c r="AT19" s="107" t="s">
        <v>1163</v>
      </c>
      <c r="AU19" s="118" t="s">
        <v>1229</v>
      </c>
      <c r="AV19" s="107" t="s">
        <v>1163</v>
      </c>
      <c r="AY19" s="168">
        <v>5</v>
      </c>
      <c r="AZ19" s="107" t="s">
        <v>1205</v>
      </c>
      <c r="BA19" s="114" t="s">
        <v>1203</v>
      </c>
      <c r="BB19" s="112" t="s">
        <v>1204</v>
      </c>
      <c r="BC19" s="120" t="s">
        <v>1230</v>
      </c>
    </row>
    <row r="20" spans="1:224" s="5" customFormat="1" ht="25.5" customHeight="1">
      <c r="A20" s="431"/>
      <c r="B20" s="6" t="s">
        <v>605</v>
      </c>
      <c r="C20" s="188" t="s">
        <v>1291</v>
      </c>
      <c r="D20" s="188" t="s">
        <v>1291</v>
      </c>
      <c r="E20" s="188" t="s">
        <v>1291</v>
      </c>
      <c r="F20" s="188" t="s">
        <v>1291</v>
      </c>
      <c r="G20" s="188"/>
      <c r="H20" s="188"/>
      <c r="I20" s="188"/>
      <c r="J20" s="188"/>
      <c r="K20" s="45"/>
      <c r="L20" s="71" t="s">
        <v>1223</v>
      </c>
      <c r="M20" s="53" t="s">
        <v>1212</v>
      </c>
      <c r="N20" s="53" t="s">
        <v>1213</v>
      </c>
      <c r="O20" s="14"/>
      <c r="P20" s="14"/>
      <c r="AB20" s="171">
        <v>18</v>
      </c>
      <c r="AC20" s="168"/>
      <c r="AD20" s="168"/>
      <c r="AE20" s="169"/>
      <c r="AF20" s="165">
        <f t="shared" si="0"/>
        <v>0</v>
      </c>
      <c r="AG20" s="166">
        <f t="shared" si="1"/>
        <v>0</v>
      </c>
      <c r="AH20" s="174">
        <f t="shared" si="2"/>
        <v>0</v>
      </c>
      <c r="AI20"/>
      <c r="AJ20"/>
      <c r="AK20"/>
      <c r="AL20"/>
      <c r="AM20"/>
      <c r="AN20"/>
      <c r="AR20" s="106">
        <v>24</v>
      </c>
      <c r="AS20" s="136">
        <v>850</v>
      </c>
      <c r="AT20" s="107" t="s">
        <v>1163</v>
      </c>
      <c r="AU20" s="118" t="s">
        <v>1229</v>
      </c>
      <c r="AV20" s="107" t="s">
        <v>1163</v>
      </c>
      <c r="AY20" s="168">
        <v>2</v>
      </c>
      <c r="AZ20" s="107" t="s">
        <v>1200</v>
      </c>
      <c r="BA20" s="111" t="s">
        <v>1198</v>
      </c>
      <c r="BB20" s="112" t="s">
        <v>1199</v>
      </c>
      <c r="BC20" s="119" t="s">
        <v>1229</v>
      </c>
    </row>
    <row r="21" spans="1:224" s="5" customFormat="1" ht="25.5" customHeight="1">
      <c r="A21" s="431"/>
      <c r="B21" s="182" t="s">
        <v>606</v>
      </c>
      <c r="C21" s="189">
        <v>0</v>
      </c>
      <c r="D21" s="189">
        <v>0</v>
      </c>
      <c r="E21" s="189">
        <v>0</v>
      </c>
      <c r="F21" s="189">
        <v>0</v>
      </c>
      <c r="G21" s="189">
        <v>0</v>
      </c>
      <c r="H21" s="189">
        <v>0</v>
      </c>
      <c r="I21" s="189">
        <v>0</v>
      </c>
      <c r="J21" s="189">
        <v>0</v>
      </c>
      <c r="K21" s="45"/>
      <c r="L21" s="70" t="s">
        <v>1224</v>
      </c>
      <c r="M21" s="53" t="s">
        <v>1225</v>
      </c>
      <c r="N21" s="53" t="s">
        <v>1212</v>
      </c>
      <c r="O21" s="14"/>
      <c r="P21" s="14"/>
      <c r="AB21" s="170">
        <v>19</v>
      </c>
      <c r="AC21" s="168"/>
      <c r="AD21" s="168"/>
      <c r="AE21" s="169"/>
      <c r="AF21" s="165">
        <f t="shared" si="0"/>
        <v>0</v>
      </c>
      <c r="AG21" s="166">
        <f t="shared" si="1"/>
        <v>0</v>
      </c>
      <c r="AH21" s="174">
        <f t="shared" si="2"/>
        <v>0</v>
      </c>
      <c r="AI21"/>
      <c r="AJ21"/>
      <c r="AK21"/>
      <c r="AL21"/>
      <c r="AM21"/>
      <c r="AN21"/>
      <c r="AR21" s="106">
        <v>28</v>
      </c>
      <c r="AS21" s="136">
        <v>990</v>
      </c>
      <c r="AT21" s="107" t="s">
        <v>1163</v>
      </c>
      <c r="AU21" s="118" t="s">
        <v>1229</v>
      </c>
      <c r="AV21" s="107" t="s">
        <v>1163</v>
      </c>
      <c r="AY21" s="168">
        <v>4</v>
      </c>
      <c r="AZ21" s="107" t="s">
        <v>1202</v>
      </c>
      <c r="BA21" s="113" t="s">
        <v>1203</v>
      </c>
      <c r="BB21" s="113" t="s">
        <v>1204</v>
      </c>
      <c r="BC21" s="120" t="s">
        <v>1230</v>
      </c>
    </row>
    <row r="22" spans="1:224" s="5" customFormat="1" ht="25.5" customHeight="1">
      <c r="A22" s="431"/>
      <c r="B22" s="182" t="s">
        <v>607</v>
      </c>
      <c r="C22" s="190">
        <v>0</v>
      </c>
      <c r="D22" s="190">
        <v>0</v>
      </c>
      <c r="E22" s="190">
        <v>0</v>
      </c>
      <c r="F22" s="190">
        <v>0</v>
      </c>
      <c r="G22" s="190">
        <v>0</v>
      </c>
      <c r="H22" s="190">
        <v>0</v>
      </c>
      <c r="I22" s="190">
        <v>0</v>
      </c>
      <c r="J22" s="190">
        <v>0</v>
      </c>
      <c r="K22" s="45"/>
      <c r="L22" s="70" t="s">
        <v>1226</v>
      </c>
      <c r="M22" s="53" t="s">
        <v>1212</v>
      </c>
      <c r="N22" s="53" t="s">
        <v>1213</v>
      </c>
      <c r="O22" s="14"/>
      <c r="P22" s="14"/>
      <c r="AB22" s="171">
        <v>20</v>
      </c>
      <c r="AC22" s="168"/>
      <c r="AD22" s="168"/>
      <c r="AE22" s="169"/>
      <c r="AF22" s="165">
        <f t="shared" si="0"/>
        <v>0</v>
      </c>
      <c r="AG22" s="166">
        <f t="shared" si="1"/>
        <v>0</v>
      </c>
      <c r="AH22" s="174">
        <f t="shared" si="2"/>
        <v>0</v>
      </c>
      <c r="AI22"/>
      <c r="AJ22"/>
      <c r="AK22"/>
      <c r="AL22"/>
      <c r="AM22"/>
      <c r="AN22"/>
      <c r="AR22" s="106">
        <v>32</v>
      </c>
      <c r="AS22" s="136">
        <v>1130</v>
      </c>
      <c r="AT22" s="107" t="s">
        <v>1163</v>
      </c>
      <c r="AU22" s="118" t="s">
        <v>1229</v>
      </c>
      <c r="AV22" s="107" t="s">
        <v>1163</v>
      </c>
      <c r="AY22" s="177"/>
    </row>
    <row r="23" spans="1:224" s="5" customFormat="1" ht="25.5" customHeight="1">
      <c r="A23" s="431"/>
      <c r="B23" s="182" t="s">
        <v>608</v>
      </c>
      <c r="C23" s="190"/>
      <c r="D23" s="190"/>
      <c r="E23" s="191"/>
      <c r="F23" s="191"/>
      <c r="G23" s="191"/>
      <c r="H23" s="191"/>
      <c r="I23" s="191"/>
      <c r="J23" s="191"/>
      <c r="K23" s="45"/>
      <c r="L23" s="70" t="s">
        <v>1227</v>
      </c>
      <c r="M23" s="53" t="s">
        <v>1225</v>
      </c>
      <c r="N23" s="53" t="s">
        <v>1212</v>
      </c>
      <c r="O23" s="14"/>
      <c r="P23" s="14"/>
      <c r="AB23" s="170">
        <v>21</v>
      </c>
      <c r="AC23" s="168"/>
      <c r="AD23" s="168"/>
      <c r="AE23" s="169"/>
      <c r="AF23" s="165">
        <f t="shared" si="0"/>
        <v>0</v>
      </c>
      <c r="AG23" s="166">
        <f t="shared" si="1"/>
        <v>0</v>
      </c>
      <c r="AH23" s="174">
        <f t="shared" si="2"/>
        <v>0</v>
      </c>
      <c r="AI23"/>
      <c r="AJ23"/>
      <c r="AK23"/>
      <c r="AL23"/>
      <c r="AM23"/>
      <c r="AN23"/>
      <c r="AR23" s="106">
        <v>36</v>
      </c>
      <c r="AS23" s="136">
        <v>1270</v>
      </c>
      <c r="AT23" s="107" t="s">
        <v>1163</v>
      </c>
      <c r="AU23" s="118" t="s">
        <v>1229</v>
      </c>
      <c r="AV23" s="107" t="s">
        <v>1163</v>
      </c>
      <c r="AY23" s="177"/>
      <c r="BC23" s="20"/>
      <c r="BD23" s="20"/>
      <c r="BE23" s="20"/>
      <c r="BF23" s="20"/>
      <c r="BG23" s="20"/>
      <c r="BH23" s="20"/>
      <c r="BI23" s="20"/>
      <c r="BJ23" s="20"/>
      <c r="BK23" s="20"/>
    </row>
    <row r="24" spans="1:224" s="8" customFormat="1" ht="25.5" customHeight="1">
      <c r="A24" s="431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14"/>
      <c r="P24" s="14"/>
      <c r="AB24" s="171">
        <v>22</v>
      </c>
      <c r="AC24" s="168"/>
      <c r="AD24" s="168"/>
      <c r="AE24" s="169"/>
      <c r="AF24" s="165">
        <f t="shared" si="0"/>
        <v>0</v>
      </c>
      <c r="AG24" s="166">
        <f t="shared" si="1"/>
        <v>0</v>
      </c>
      <c r="AH24" s="174">
        <f t="shared" si="2"/>
        <v>0</v>
      </c>
      <c r="AI24"/>
      <c r="AJ24"/>
      <c r="AK24"/>
      <c r="AL24"/>
      <c r="AM24"/>
      <c r="AN24"/>
      <c r="AR24" s="106">
        <v>40</v>
      </c>
      <c r="AS24" s="136">
        <v>1410</v>
      </c>
      <c r="AT24" s="107" t="s">
        <v>1163</v>
      </c>
      <c r="AU24" s="118" t="s">
        <v>1229</v>
      </c>
      <c r="AV24" s="107" t="s">
        <v>1163</v>
      </c>
      <c r="AY24" s="179"/>
      <c r="BC24" s="20"/>
      <c r="BD24" s="20"/>
      <c r="BE24" s="20"/>
      <c r="BF24" s="20"/>
      <c r="BG24" s="20"/>
      <c r="BH24" s="20"/>
      <c r="BI24" s="20"/>
      <c r="BJ24" s="20"/>
      <c r="BK24" s="20"/>
    </row>
    <row r="25" spans="1:224" s="8" customFormat="1" ht="25.5" customHeight="1">
      <c r="A25" s="431"/>
      <c r="B25" s="9" t="s">
        <v>1165</v>
      </c>
      <c r="C25" s="186"/>
      <c r="D25" s="186"/>
      <c r="E25" s="186"/>
      <c r="F25" s="186"/>
      <c r="G25" s="141"/>
      <c r="H25" s="141"/>
      <c r="I25" s="141"/>
      <c r="J25" s="141"/>
      <c r="K25" s="45"/>
      <c r="L25" s="70"/>
      <c r="M25" s="53"/>
      <c r="N25" s="53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68"/>
      <c r="AD25" s="168"/>
      <c r="AE25" s="169"/>
      <c r="AF25" s="165">
        <f t="shared" si="0"/>
        <v>0</v>
      </c>
      <c r="AG25" s="166">
        <f t="shared" si="1"/>
        <v>0</v>
      </c>
      <c r="AH25" s="174">
        <f t="shared" si="2"/>
        <v>0</v>
      </c>
      <c r="AI25"/>
      <c r="AJ25"/>
      <c r="AK25"/>
      <c r="AL25"/>
      <c r="AM25"/>
      <c r="AN25"/>
      <c r="AO25" s="20"/>
      <c r="AP25" s="20"/>
      <c r="AQ25" s="20"/>
      <c r="AR25" s="106">
        <v>44</v>
      </c>
      <c r="AS25" s="136">
        <v>1551</v>
      </c>
      <c r="AT25" s="107" t="s">
        <v>1163</v>
      </c>
      <c r="AU25" s="118" t="s">
        <v>1229</v>
      </c>
      <c r="AV25" s="107" t="s">
        <v>1163</v>
      </c>
      <c r="AW25" s="20"/>
      <c r="AX25" s="20"/>
      <c r="AY25" s="18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</row>
    <row r="26" spans="1:224" s="8" customFormat="1" ht="25.5" customHeight="1">
      <c r="A26" s="431"/>
      <c r="B26" s="9" t="s">
        <v>1166</v>
      </c>
      <c r="C26" s="186"/>
      <c r="D26" s="186"/>
      <c r="E26" s="186"/>
      <c r="F26" s="186"/>
      <c r="G26" s="141"/>
      <c r="H26" s="141"/>
      <c r="I26" s="141"/>
      <c r="J26" s="141"/>
      <c r="K26" s="45"/>
      <c r="L26" s="71"/>
      <c r="M26" s="85"/>
      <c r="N26" s="85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68"/>
      <c r="AD26" s="168"/>
      <c r="AE26" s="169"/>
      <c r="AF26" s="165">
        <f t="shared" si="0"/>
        <v>0</v>
      </c>
      <c r="AG26" s="166">
        <f t="shared" si="1"/>
        <v>0</v>
      </c>
      <c r="AH26" s="174">
        <f t="shared" si="2"/>
        <v>0</v>
      </c>
      <c r="AI26"/>
      <c r="AJ26"/>
      <c r="AK26"/>
      <c r="AL26"/>
      <c r="AM26"/>
      <c r="AN26"/>
      <c r="AO26" s="20"/>
      <c r="AP26" s="20"/>
      <c r="AQ26" s="20"/>
      <c r="AR26" s="106">
        <v>48</v>
      </c>
      <c r="AS26" s="136">
        <v>1692</v>
      </c>
      <c r="AT26" s="107" t="s">
        <v>1163</v>
      </c>
      <c r="AU26" s="118" t="s">
        <v>1229</v>
      </c>
      <c r="AV26" s="107" t="s">
        <v>1163</v>
      </c>
      <c r="AW26" s="20"/>
      <c r="AX26" s="20"/>
      <c r="AY26" s="18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</row>
    <row r="27" spans="1:224" s="8" customFormat="1" ht="25.5" customHeight="1" thickBot="1">
      <c r="A27" s="431"/>
      <c r="B27" s="9" t="s">
        <v>1167</v>
      </c>
      <c r="C27" s="187"/>
      <c r="D27" s="187"/>
      <c r="E27" s="187"/>
      <c r="F27" s="187"/>
      <c r="G27" s="155"/>
      <c r="H27" s="155"/>
      <c r="I27" s="155"/>
      <c r="J27" s="155"/>
      <c r="K27" s="45"/>
      <c r="L27" s="70"/>
      <c r="M27" s="53"/>
      <c r="N27" s="53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68"/>
      <c r="AD27" s="168"/>
      <c r="AE27" s="169"/>
      <c r="AF27" s="165">
        <f t="shared" si="0"/>
        <v>0</v>
      </c>
      <c r="AG27" s="172">
        <f t="shared" si="1"/>
        <v>0</v>
      </c>
      <c r="AH27" s="174">
        <f t="shared" si="2"/>
        <v>0</v>
      </c>
      <c r="AI27"/>
      <c r="AJ27"/>
      <c r="AK27"/>
      <c r="AL27"/>
      <c r="AM27"/>
      <c r="AN27"/>
      <c r="AO27" s="20"/>
      <c r="AP27" s="20"/>
      <c r="AQ27" s="20"/>
      <c r="AR27" s="106">
        <v>4</v>
      </c>
      <c r="AS27" s="136">
        <v>210</v>
      </c>
      <c r="AT27" s="107" t="s">
        <v>1164</v>
      </c>
      <c r="AU27" s="118" t="s">
        <v>1229</v>
      </c>
      <c r="AV27" s="107" t="s">
        <v>1164</v>
      </c>
      <c r="AW27" s="20"/>
      <c r="AX27" s="20"/>
      <c r="AY27" s="18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</row>
    <row r="28" spans="1:224" s="8" customFormat="1" ht="25.5" customHeight="1" thickBot="1">
      <c r="A28" s="431"/>
      <c r="B28" s="9" t="s">
        <v>1168</v>
      </c>
      <c r="C28" s="187"/>
      <c r="D28" s="187"/>
      <c r="E28" s="187"/>
      <c r="F28" s="187"/>
      <c r="G28" s="155"/>
      <c r="H28" s="155"/>
      <c r="I28" s="155"/>
      <c r="J28" s="155"/>
      <c r="K28" s="45"/>
      <c r="L28" s="70"/>
      <c r="M28" s="53"/>
      <c r="N28" s="53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/>
      <c r="AD28"/>
      <c r="AE28" s="173">
        <f>SUM(AE3:AE27)</f>
        <v>0</v>
      </c>
      <c r="AF28" s="173">
        <f>SUM(AF3:AF27)</f>
        <v>0</v>
      </c>
      <c r="AG28" s="173">
        <f>SUM(AG3:AG27)</f>
        <v>0</v>
      </c>
      <c r="AH28"/>
      <c r="AI28"/>
      <c r="AJ28"/>
      <c r="AK28"/>
      <c r="AL28"/>
      <c r="AM28"/>
      <c r="AN28"/>
      <c r="AO28" s="20"/>
      <c r="AP28" s="20"/>
      <c r="AQ28" s="20"/>
      <c r="AR28" s="106">
        <v>8</v>
      </c>
      <c r="AS28" s="136">
        <v>370</v>
      </c>
      <c r="AT28" s="107" t="s">
        <v>1164</v>
      </c>
      <c r="AU28" s="118" t="s">
        <v>1229</v>
      </c>
      <c r="AV28" s="107" t="s">
        <v>1164</v>
      </c>
      <c r="AW28" s="20"/>
      <c r="AX28" s="20"/>
      <c r="AY28" s="18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</row>
    <row r="29" spans="1:224" s="8" customFormat="1" ht="25.5" customHeight="1">
      <c r="A29" s="431"/>
      <c r="B29" s="9" t="s">
        <v>611</v>
      </c>
      <c r="C29" s="187"/>
      <c r="D29" s="187"/>
      <c r="E29" s="187"/>
      <c r="F29" s="187"/>
      <c r="G29" s="155"/>
      <c r="H29" s="155"/>
      <c r="I29" s="155"/>
      <c r="J29" s="155"/>
      <c r="K29" s="45"/>
      <c r="L29" s="70"/>
      <c r="M29" s="53"/>
      <c r="N29" s="53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/>
      <c r="AD29"/>
      <c r="AE29"/>
      <c r="AF29"/>
      <c r="AG29"/>
      <c r="AH29"/>
      <c r="AI29"/>
      <c r="AJ29"/>
      <c r="AK29"/>
      <c r="AL29"/>
      <c r="AM29"/>
      <c r="AN29"/>
      <c r="AO29" s="20"/>
      <c r="AP29" s="20"/>
      <c r="AQ29" s="20"/>
      <c r="AR29" s="106">
        <v>12</v>
      </c>
      <c r="AS29" s="136">
        <v>560</v>
      </c>
      <c r="AT29" s="107" t="s">
        <v>1164</v>
      </c>
      <c r="AU29" s="118" t="s">
        <v>1229</v>
      </c>
      <c r="AV29" s="107" t="s">
        <v>1164</v>
      </c>
      <c r="AW29" s="20"/>
      <c r="AX29" s="20"/>
      <c r="AY29" s="18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</row>
    <row r="30" spans="1:224" s="8" customFormat="1" ht="25.5" customHeight="1">
      <c r="A30" s="431"/>
      <c r="B30" s="388" t="s">
        <v>612</v>
      </c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/>
      <c r="AD30"/>
      <c r="AE30"/>
      <c r="AF30"/>
      <c r="AG30"/>
      <c r="AH30"/>
      <c r="AI30"/>
      <c r="AJ30"/>
      <c r="AK30"/>
      <c r="AL30"/>
      <c r="AM30"/>
      <c r="AN30"/>
      <c r="AO30" s="20"/>
      <c r="AP30" s="20"/>
      <c r="AQ30" s="20"/>
      <c r="AR30" s="106">
        <v>16</v>
      </c>
      <c r="AS30" s="136">
        <v>730</v>
      </c>
      <c r="AT30" s="107" t="s">
        <v>1164</v>
      </c>
      <c r="AU30" s="118" t="s">
        <v>1229</v>
      </c>
      <c r="AV30" s="107" t="s">
        <v>1164</v>
      </c>
      <c r="AW30" s="20"/>
      <c r="AX30" s="20"/>
      <c r="AY30" s="18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</row>
    <row r="31" spans="1:224" s="8" customFormat="1" ht="25.5" customHeight="1">
      <c r="A31" s="431"/>
      <c r="B31" s="435" t="s">
        <v>1292</v>
      </c>
      <c r="C31" s="436"/>
      <c r="D31" s="436"/>
      <c r="E31" s="436"/>
      <c r="F31" s="436"/>
      <c r="G31" s="436"/>
      <c r="H31" s="436"/>
      <c r="I31" s="436"/>
      <c r="J31" s="437"/>
      <c r="K31" s="45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4" t="s">
        <v>1124</v>
      </c>
      <c r="AD31" s="41" t="s">
        <v>1284</v>
      </c>
      <c r="AE31" s="121">
        <f>SUMIF(AC$3:AC$27,AD31,AF$3:AF$27)</f>
        <v>0</v>
      </c>
      <c r="AF31"/>
      <c r="AG31"/>
      <c r="AH31"/>
      <c r="AI31"/>
      <c r="AJ31"/>
      <c r="AK31"/>
      <c r="AL31"/>
      <c r="AM31"/>
      <c r="AN31"/>
      <c r="AO31" s="20"/>
      <c r="AP31" s="20"/>
      <c r="AQ31" s="20"/>
      <c r="AR31" s="106">
        <v>20</v>
      </c>
      <c r="AS31" s="136">
        <v>910</v>
      </c>
      <c r="AT31" s="107" t="s">
        <v>1164</v>
      </c>
      <c r="AU31" s="118" t="s">
        <v>1229</v>
      </c>
      <c r="AV31" s="107" t="s">
        <v>1164</v>
      </c>
      <c r="AW31" s="20"/>
      <c r="AX31" s="20"/>
      <c r="AY31" s="18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</row>
    <row r="32" spans="1:224" s="8" customFormat="1" ht="25.5" customHeight="1">
      <c r="A32" s="431"/>
      <c r="B32" s="438" t="s">
        <v>1292</v>
      </c>
      <c r="C32" s="439"/>
      <c r="D32" s="439"/>
      <c r="E32" s="439"/>
      <c r="F32" s="439"/>
      <c r="G32" s="439"/>
      <c r="H32" s="439"/>
      <c r="I32" s="439"/>
      <c r="J32" s="440"/>
      <c r="K32" s="45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4" t="s">
        <v>624</v>
      </c>
      <c r="AD32" s="41" t="s">
        <v>1311</v>
      </c>
      <c r="AE32" s="121">
        <f>SUMIF(AC$3:AC$27,AD32,AF$3:AF$27)</f>
        <v>0</v>
      </c>
      <c r="AF32"/>
      <c r="AG32"/>
      <c r="AH32"/>
      <c r="AI32"/>
      <c r="AJ32"/>
      <c r="AK32"/>
      <c r="AL32"/>
      <c r="AM32"/>
      <c r="AN32"/>
      <c r="AO32" s="20"/>
      <c r="AP32" s="20"/>
      <c r="AQ32" s="20"/>
      <c r="AR32" s="106">
        <v>24</v>
      </c>
      <c r="AS32" s="136">
        <v>1110</v>
      </c>
      <c r="AT32" s="107" t="s">
        <v>1164</v>
      </c>
      <c r="AU32" s="118" t="s">
        <v>1229</v>
      </c>
      <c r="AV32" s="107" t="s">
        <v>1164</v>
      </c>
      <c r="AW32" s="20"/>
      <c r="AX32" s="20"/>
      <c r="AY32" s="18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</row>
    <row r="33" spans="1:224" s="8" customFormat="1" ht="25.5" customHeight="1">
      <c r="A33" s="431"/>
      <c r="B33" s="438" t="s">
        <v>1292</v>
      </c>
      <c r="C33" s="439"/>
      <c r="D33" s="439"/>
      <c r="E33" s="439"/>
      <c r="F33" s="439"/>
      <c r="G33" s="439"/>
      <c r="H33" s="439"/>
      <c r="I33" s="439"/>
      <c r="J33" s="440"/>
      <c r="K33" s="45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/>
      <c r="AD33"/>
      <c r="AE33"/>
      <c r="AF33"/>
      <c r="AG33"/>
      <c r="AH33"/>
      <c r="AI33"/>
      <c r="AJ33"/>
      <c r="AK33"/>
      <c r="AL33"/>
      <c r="AM33"/>
      <c r="AN33"/>
      <c r="AO33" s="20"/>
      <c r="AP33" s="20"/>
      <c r="AQ33" s="20"/>
      <c r="AR33" s="106">
        <v>28</v>
      </c>
      <c r="AS33" s="136">
        <v>1270</v>
      </c>
      <c r="AT33" s="107" t="s">
        <v>1164</v>
      </c>
      <c r="AU33" s="118" t="s">
        <v>1229</v>
      </c>
      <c r="AV33" s="107" t="s">
        <v>1164</v>
      </c>
      <c r="AW33" s="20"/>
      <c r="AX33" s="20"/>
      <c r="AY33" s="18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</row>
    <row r="34" spans="1:224" s="8" customFormat="1" ht="25.5" customHeight="1" thickBot="1">
      <c r="A34" s="432"/>
      <c r="B34" s="438" t="s">
        <v>1292</v>
      </c>
      <c r="C34" s="441"/>
      <c r="D34" s="441"/>
      <c r="E34" s="441"/>
      <c r="F34" s="441"/>
      <c r="G34" s="441"/>
      <c r="H34" s="441"/>
      <c r="I34" s="441"/>
      <c r="J34" s="442"/>
      <c r="K34" s="45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/>
      <c r="AD34"/>
      <c r="AE34"/>
      <c r="AF34"/>
      <c r="AG34"/>
      <c r="AH34"/>
      <c r="AI34"/>
      <c r="AJ34"/>
      <c r="AK34"/>
      <c r="AL34"/>
      <c r="AM34"/>
      <c r="AN34"/>
      <c r="AO34" s="20"/>
      <c r="AP34" s="20"/>
      <c r="AQ34" s="20"/>
      <c r="AR34" s="106">
        <v>32</v>
      </c>
      <c r="AS34" s="136">
        <v>1461</v>
      </c>
      <c r="AT34" s="107" t="s">
        <v>1164</v>
      </c>
      <c r="AU34" s="118" t="s">
        <v>1229</v>
      </c>
      <c r="AV34" s="107" t="s">
        <v>1164</v>
      </c>
      <c r="AW34" s="20"/>
      <c r="AX34" s="20"/>
      <c r="AY34" s="18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</row>
    <row r="35" spans="1:224" s="5" customFormat="1" ht="25.5" customHeight="1" thickTop="1" thickBot="1">
      <c r="A35" s="443" t="s">
        <v>613</v>
      </c>
      <c r="B35" s="74" t="s">
        <v>603</v>
      </c>
      <c r="C35" s="142">
        <f t="shared" ref="C35:J35" si="4">C18</f>
        <v>230</v>
      </c>
      <c r="D35" s="142">
        <f t="shared" si="4"/>
        <v>230</v>
      </c>
      <c r="E35" s="142">
        <f t="shared" si="4"/>
        <v>230</v>
      </c>
      <c r="F35" s="142">
        <f t="shared" si="4"/>
        <v>230</v>
      </c>
      <c r="G35" s="142">
        <f t="shared" si="4"/>
        <v>0</v>
      </c>
      <c r="H35" s="142">
        <f t="shared" si="4"/>
        <v>0</v>
      </c>
      <c r="I35" s="142">
        <f t="shared" si="4"/>
        <v>0</v>
      </c>
      <c r="J35" s="142">
        <f t="shared" si="4"/>
        <v>0</v>
      </c>
      <c r="K35" s="45"/>
      <c r="AC35"/>
      <c r="AD35"/>
      <c r="AE35"/>
      <c r="AF35"/>
      <c r="AG35"/>
      <c r="AH35"/>
      <c r="AI35"/>
      <c r="AJ35"/>
      <c r="AK35"/>
      <c r="AL35"/>
      <c r="AM35"/>
      <c r="AN35"/>
      <c r="AR35" s="106">
        <v>36</v>
      </c>
      <c r="AS35" s="136">
        <v>1631</v>
      </c>
      <c r="AT35" s="107" t="s">
        <v>1164</v>
      </c>
      <c r="AU35" s="118" t="s">
        <v>1229</v>
      </c>
      <c r="AV35" s="107" t="s">
        <v>1164</v>
      </c>
      <c r="AY35" s="177"/>
    </row>
    <row r="36" spans="1:224" s="5" customFormat="1" ht="25.5" customHeight="1" thickTop="1">
      <c r="A36" s="444"/>
      <c r="B36" s="72" t="s">
        <v>614</v>
      </c>
      <c r="C36" s="143">
        <f>IF(ROYALTY_ESPECIE_01&lt;&gt;0,ROYALTY_ESPECIE_01*VLOOKUP(Moeda_01,$P$3:$Q$8,2,FALSE),ROYALTY_PERCENTUAL_01*PrecoMKT_01)</f>
        <v>0</v>
      </c>
      <c r="D36" s="143">
        <f>IF(ROYALTY_ESPECIE_02&lt;&gt;0,ROYALTY_ESPECIE_02*VLOOKUP(Moeda_02,$P$3:$Q$8,2,FALSE),ROYALTY_PERCENTUAL_02*PrecoMKT_02)</f>
        <v>0</v>
      </c>
      <c r="E36" s="143">
        <f>IF(ROYALTY_ESPECIE_03&lt;&gt;0,ROYALTY_ESPECIE_03*VLOOKUP(Moeda_03,$P$3:$Q$8,2,FALSE),ROYALTY_PERCENTUAL_03*PrecoMKT_03)</f>
        <v>0</v>
      </c>
      <c r="F36" s="143">
        <f>IF(ROYALTY_ESPECIE_04&lt;&gt;0,ROYALTY_ESPECIE_04*VLOOKUP(Moeda_04,$P$3:$Q$8,2,FALSE),ROYALTY_PERCENTUAL_04*PrecoMKT_04)</f>
        <v>0</v>
      </c>
      <c r="G36" s="143">
        <f>IF(ROYALTY_ESPECIE_05&lt;&gt;0,ROYALTY_ESPECIE_05*VLOOKUP(Moeda_05,$P$3:$Q$8,2,FALSE),ROYALTY_PERCENTUAL_05*PrecoMKT_05)</f>
        <v>0</v>
      </c>
      <c r="H36" s="143">
        <f>IF(ROYALTY_ESPECIE_06&lt;&gt;0,ROYALTY_ESPECIE_06*VLOOKUP(Moeda_06,$P$3:$Q$8,2,FALSE),ROYALTY_PERCENTUAL_06*PrecoMKT_06)</f>
        <v>0</v>
      </c>
      <c r="I36" s="143">
        <f>IF(ROYALTY_ESPECIE_07&lt;&gt;0,ROYALTY_ESPECIE_07*VLOOKUP(Moeda_07,$P$3:$Q$8,2,FALSE),ROYALTY_PERCENTUAL_07*PrecoMKT_07)</f>
        <v>0</v>
      </c>
      <c r="J36" s="143">
        <f>IF(ROYALTY_ESPECIE_08&lt;&gt;0,ROYALTY_ESPECIE_08*VLOOKUP(Moeda_08,$P$3:$Q$8,2,FALSE),ROYALTY_PERCENTUAL_08*PrecoMKT_08)</f>
        <v>0</v>
      </c>
      <c r="K36" s="45"/>
      <c r="AC36"/>
      <c r="AD36"/>
      <c r="AE36"/>
      <c r="AF36"/>
      <c r="AG36"/>
      <c r="AH36"/>
      <c r="AI36"/>
      <c r="AJ36"/>
      <c r="AK36"/>
      <c r="AL36"/>
      <c r="AM36"/>
      <c r="AN36"/>
      <c r="AR36" s="106">
        <v>40</v>
      </c>
      <c r="AS36" s="136">
        <v>1810</v>
      </c>
      <c r="AT36" s="107" t="s">
        <v>1164</v>
      </c>
      <c r="AU36" s="118" t="s">
        <v>1229</v>
      </c>
      <c r="AV36" s="107" t="s">
        <v>1164</v>
      </c>
      <c r="AY36" s="177"/>
    </row>
    <row r="37" spans="1:224" s="5" customFormat="1" ht="25.5" customHeight="1">
      <c r="A37" s="444"/>
      <c r="B37" s="10" t="s">
        <v>615</v>
      </c>
      <c r="C37" s="144"/>
      <c r="D37" s="144"/>
      <c r="E37" s="144"/>
      <c r="F37" s="144"/>
      <c r="G37" s="144"/>
      <c r="H37" s="144"/>
      <c r="I37" s="144"/>
      <c r="J37" s="144"/>
      <c r="K37" s="45"/>
      <c r="AC37"/>
      <c r="AD37"/>
      <c r="AE37"/>
      <c r="AF37"/>
      <c r="AG37"/>
      <c r="AH37"/>
      <c r="AI37"/>
      <c r="AJ37"/>
      <c r="AK37"/>
      <c r="AL37"/>
      <c r="AM37"/>
      <c r="AN37"/>
      <c r="AR37" s="106">
        <v>44</v>
      </c>
      <c r="AS37" s="136">
        <v>2011</v>
      </c>
      <c r="AT37" s="107" t="s">
        <v>1164</v>
      </c>
      <c r="AU37" s="118" t="s">
        <v>1229</v>
      </c>
      <c r="AV37" s="107" t="s">
        <v>1164</v>
      </c>
      <c r="AY37" s="177"/>
    </row>
    <row r="38" spans="1:224" s="5" customFormat="1" ht="25.5" customHeight="1">
      <c r="A38" s="444"/>
      <c r="B38" s="176" t="s">
        <v>583</v>
      </c>
      <c r="C38" s="145"/>
      <c r="D38" s="145"/>
      <c r="E38" s="145"/>
      <c r="F38" s="145"/>
      <c r="G38" s="145"/>
      <c r="H38" s="145"/>
      <c r="I38" s="145"/>
      <c r="J38" s="145"/>
      <c r="K38" s="45"/>
      <c r="AC38"/>
      <c r="AD38"/>
      <c r="AE38"/>
      <c r="AF38"/>
      <c r="AG38"/>
      <c r="AH38"/>
      <c r="AI38"/>
      <c r="AJ38"/>
      <c r="AK38"/>
      <c r="AL38"/>
      <c r="AM38"/>
      <c r="AN38"/>
      <c r="AR38" s="106">
        <v>48</v>
      </c>
      <c r="AS38" s="136">
        <v>2210</v>
      </c>
      <c r="AT38" s="107" t="s">
        <v>1164</v>
      </c>
      <c r="AU38" s="118" t="s">
        <v>1229</v>
      </c>
      <c r="AV38" s="107" t="s">
        <v>1164</v>
      </c>
      <c r="AY38" s="177"/>
    </row>
    <row r="39" spans="1:224" s="5" customFormat="1" ht="25.5" customHeight="1">
      <c r="A39" s="444"/>
      <c r="B39" s="176" t="s">
        <v>584</v>
      </c>
      <c r="C39" s="145"/>
      <c r="D39" s="145"/>
      <c r="E39" s="145"/>
      <c r="F39" s="145"/>
      <c r="G39" s="145"/>
      <c r="H39" s="145"/>
      <c r="I39" s="145"/>
      <c r="J39" s="145"/>
      <c r="K39" s="45"/>
      <c r="AC39"/>
      <c r="AD39"/>
      <c r="AE39"/>
      <c r="AF39"/>
      <c r="AG39"/>
      <c r="AH39"/>
      <c r="AI39"/>
      <c r="AJ39"/>
      <c r="AK39"/>
      <c r="AL39"/>
      <c r="AM39"/>
      <c r="AN39"/>
      <c r="AR39" s="108">
        <v>1</v>
      </c>
      <c r="AS39" s="137">
        <v>40</v>
      </c>
      <c r="AT39" s="109" t="s">
        <v>1162</v>
      </c>
      <c r="AU39" s="120" t="s">
        <v>1230</v>
      </c>
      <c r="AV39" s="109" t="s">
        <v>1162</v>
      </c>
      <c r="AY39" s="177"/>
    </row>
    <row r="40" spans="1:224" s="5" customFormat="1" ht="25.5" customHeight="1">
      <c r="A40" s="444"/>
      <c r="B40" s="11" t="s">
        <v>585</v>
      </c>
      <c r="C40" s="145"/>
      <c r="D40" s="145"/>
      <c r="E40" s="145"/>
      <c r="F40" s="145"/>
      <c r="G40" s="145"/>
      <c r="H40" s="145"/>
      <c r="I40" s="145"/>
      <c r="J40" s="145"/>
      <c r="K40" s="45"/>
      <c r="AC40"/>
      <c r="AD40"/>
      <c r="AE40"/>
      <c r="AF40"/>
      <c r="AG40"/>
      <c r="AH40"/>
      <c r="AI40"/>
      <c r="AJ40"/>
      <c r="AK40"/>
      <c r="AL40"/>
      <c r="AM40"/>
      <c r="AN40"/>
      <c r="AR40" s="108">
        <v>1</v>
      </c>
      <c r="AS40" s="137">
        <v>35</v>
      </c>
      <c r="AT40" s="109" t="s">
        <v>1163</v>
      </c>
      <c r="AU40" s="120" t="s">
        <v>1230</v>
      </c>
      <c r="AV40" s="109" t="s">
        <v>1163</v>
      </c>
      <c r="AY40" s="177"/>
    </row>
    <row r="41" spans="1:224" s="5" customFormat="1" ht="25.5" customHeight="1">
      <c r="A41" s="444"/>
      <c r="B41" s="11" t="s">
        <v>586</v>
      </c>
      <c r="C41" s="145"/>
      <c r="D41" s="145"/>
      <c r="E41" s="145"/>
      <c r="F41" s="145"/>
      <c r="G41" s="145"/>
      <c r="H41" s="145"/>
      <c r="I41" s="145"/>
      <c r="J41" s="145"/>
      <c r="K41" s="45"/>
      <c r="AC41"/>
      <c r="AD41"/>
      <c r="AE41"/>
      <c r="AF41"/>
      <c r="AG41"/>
      <c r="AH41"/>
      <c r="AI41"/>
      <c r="AJ41"/>
      <c r="AK41"/>
      <c r="AL41"/>
      <c r="AM41"/>
      <c r="AN41"/>
      <c r="AR41" s="108">
        <v>1</v>
      </c>
      <c r="AS41" s="137">
        <v>50</v>
      </c>
      <c r="AT41" s="109" t="s">
        <v>1164</v>
      </c>
      <c r="AU41" s="120" t="s">
        <v>1230</v>
      </c>
      <c r="AV41" s="109" t="s">
        <v>1164</v>
      </c>
      <c r="AY41" s="177"/>
    </row>
    <row r="42" spans="1:224" s="5" customFormat="1" ht="25.5" customHeight="1">
      <c r="A42" s="444"/>
      <c r="B42" s="11" t="s">
        <v>616</v>
      </c>
      <c r="C42" s="145"/>
      <c r="D42" s="145"/>
      <c r="E42" s="145"/>
      <c r="F42" s="145"/>
      <c r="G42" s="145"/>
      <c r="H42" s="145"/>
      <c r="I42" s="145"/>
      <c r="J42" s="145"/>
      <c r="K42" s="45"/>
      <c r="AC42"/>
      <c r="AD42"/>
      <c r="AE42"/>
      <c r="AF42"/>
      <c r="AG42"/>
      <c r="AH42"/>
      <c r="AI42"/>
      <c r="AJ42"/>
      <c r="AK42"/>
      <c r="AL42"/>
      <c r="AM42"/>
      <c r="AN42"/>
      <c r="AR42" s="108">
        <v>1</v>
      </c>
      <c r="AS42" s="137">
        <v>150</v>
      </c>
      <c r="AT42" s="110" t="s">
        <v>1264</v>
      </c>
      <c r="AU42" s="120" t="s">
        <v>1230</v>
      </c>
      <c r="AV42" s="110" t="s">
        <v>1162</v>
      </c>
      <c r="AY42" s="177"/>
    </row>
    <row r="43" spans="1:224" s="5" customFormat="1" ht="25.5" customHeight="1">
      <c r="A43" s="444"/>
      <c r="B43" s="11" t="s">
        <v>1125</v>
      </c>
      <c r="C43" s="145"/>
      <c r="D43" s="145"/>
      <c r="E43" s="145"/>
      <c r="F43" s="145"/>
      <c r="G43" s="145"/>
      <c r="H43" s="145"/>
      <c r="I43" s="145"/>
      <c r="J43" s="145"/>
      <c r="K43" s="45"/>
      <c r="AC43"/>
      <c r="AD43"/>
      <c r="AE43"/>
      <c r="AF43"/>
      <c r="AG43"/>
      <c r="AH43"/>
      <c r="AI43"/>
      <c r="AJ43"/>
      <c r="AK43"/>
      <c r="AL43"/>
      <c r="AM43"/>
      <c r="AN43"/>
      <c r="AR43" s="108">
        <v>1</v>
      </c>
      <c r="AS43" s="137">
        <v>180</v>
      </c>
      <c r="AT43" s="110" t="s">
        <v>1265</v>
      </c>
      <c r="AU43" s="120" t="s">
        <v>1230</v>
      </c>
      <c r="AV43" s="110" t="s">
        <v>1265</v>
      </c>
      <c r="AY43" s="177"/>
    </row>
    <row r="44" spans="1:224" s="5" customFormat="1" ht="25.5" customHeight="1">
      <c r="A44" s="444"/>
      <c r="B44" s="176" t="s">
        <v>1126</v>
      </c>
      <c r="C44" s="145"/>
      <c r="D44" s="145"/>
      <c r="E44" s="145"/>
      <c r="F44" s="145"/>
      <c r="G44" s="145"/>
      <c r="H44" s="145"/>
      <c r="I44" s="145"/>
      <c r="J44" s="145"/>
      <c r="K44" s="45"/>
      <c r="AC44"/>
      <c r="AD44"/>
      <c r="AE44"/>
      <c r="AF44"/>
      <c r="AG44"/>
      <c r="AH44"/>
      <c r="AI44"/>
      <c r="AJ44"/>
      <c r="AK44"/>
      <c r="AL44"/>
      <c r="AM44"/>
      <c r="AN44"/>
      <c r="AR44" s="108">
        <v>1</v>
      </c>
      <c r="AS44" s="137">
        <v>800</v>
      </c>
      <c r="AT44" s="110" t="s">
        <v>1266</v>
      </c>
      <c r="AU44" s="120" t="s">
        <v>1230</v>
      </c>
      <c r="AV44" s="110" t="s">
        <v>1266</v>
      </c>
      <c r="AY44" s="177"/>
    </row>
    <row r="45" spans="1:224" s="5" customFormat="1" ht="25.5" customHeight="1">
      <c r="A45" s="444"/>
      <c r="B45" s="203" t="s">
        <v>1124</v>
      </c>
      <c r="C45" s="145"/>
      <c r="D45" s="145"/>
      <c r="E45" s="145"/>
      <c r="F45" s="145"/>
      <c r="G45" s="145"/>
      <c r="H45" s="145"/>
      <c r="I45" s="145"/>
      <c r="J45" s="145"/>
      <c r="K45" s="45"/>
      <c r="AC45"/>
      <c r="AD45"/>
      <c r="AE45"/>
      <c r="AF45"/>
      <c r="AG45"/>
      <c r="AH45"/>
      <c r="AI45"/>
      <c r="AJ45"/>
      <c r="AK45"/>
      <c r="AL45"/>
      <c r="AM45"/>
      <c r="AN45"/>
      <c r="AR45" s="108">
        <v>1</v>
      </c>
      <c r="AS45" s="137">
        <v>200</v>
      </c>
      <c r="AT45" s="110" t="s">
        <v>1267</v>
      </c>
      <c r="AU45" s="120" t="s">
        <v>1230</v>
      </c>
      <c r="AV45" s="110" t="s">
        <v>1267</v>
      </c>
      <c r="AY45" s="177"/>
    </row>
    <row r="46" spans="1:224" s="5" customFormat="1" ht="25.5" customHeight="1">
      <c r="A46" s="444"/>
      <c r="B46" s="11" t="s">
        <v>618</v>
      </c>
      <c r="C46" s="145"/>
      <c r="D46" s="145"/>
      <c r="E46" s="145"/>
      <c r="F46" s="145"/>
      <c r="G46" s="145"/>
      <c r="H46" s="145"/>
      <c r="I46" s="145"/>
      <c r="J46" s="145"/>
      <c r="K46" s="45"/>
      <c r="AC46"/>
      <c r="AD46"/>
      <c r="AE46"/>
      <c r="AF46"/>
      <c r="AG46"/>
      <c r="AH46"/>
      <c r="AI46"/>
      <c r="AJ46"/>
      <c r="AK46"/>
      <c r="AL46"/>
      <c r="AM46"/>
      <c r="AN46"/>
      <c r="AR46" s="108">
        <v>1</v>
      </c>
      <c r="AS46" s="137">
        <v>1000</v>
      </c>
      <c r="AT46" s="110" t="s">
        <v>1268</v>
      </c>
      <c r="AU46" s="120" t="s">
        <v>1230</v>
      </c>
      <c r="AV46" s="110" t="s">
        <v>1268</v>
      </c>
      <c r="AY46" s="177"/>
    </row>
    <row r="47" spans="1:224" s="5" customFormat="1" ht="25.5" customHeight="1">
      <c r="A47" s="444"/>
      <c r="B47" s="11" t="s">
        <v>619</v>
      </c>
      <c r="C47" s="145"/>
      <c r="D47" s="145"/>
      <c r="E47" s="145"/>
      <c r="F47" s="145"/>
      <c r="G47" s="145"/>
      <c r="H47" s="145"/>
      <c r="I47" s="145"/>
      <c r="J47" s="145"/>
      <c r="K47" s="45"/>
      <c r="AC47"/>
      <c r="AD47"/>
      <c r="AE47"/>
      <c r="AF47"/>
      <c r="AG47"/>
      <c r="AH47"/>
      <c r="AI47"/>
      <c r="AJ47"/>
      <c r="AK47"/>
      <c r="AL47"/>
      <c r="AM47"/>
      <c r="AN47"/>
      <c r="AR47" s="108">
        <v>1</v>
      </c>
      <c r="AS47" s="137">
        <v>200</v>
      </c>
      <c r="AT47" s="110" t="s">
        <v>1269</v>
      </c>
      <c r="AU47" s="120" t="s">
        <v>1230</v>
      </c>
      <c r="AV47" s="110" t="s">
        <v>1269</v>
      </c>
      <c r="AY47" s="177"/>
    </row>
    <row r="48" spans="1:224" s="5" customFormat="1" ht="25.5" customHeight="1">
      <c r="A48" s="444"/>
      <c r="B48" s="11" t="s">
        <v>620</v>
      </c>
      <c r="C48" s="145"/>
      <c r="D48" s="145"/>
      <c r="E48" s="145"/>
      <c r="F48" s="145"/>
      <c r="G48" s="145"/>
      <c r="H48" s="145"/>
      <c r="I48" s="145"/>
      <c r="J48" s="145"/>
      <c r="K48" s="45"/>
      <c r="AC48"/>
      <c r="AD48"/>
      <c r="AE48"/>
      <c r="AF48"/>
      <c r="AG48"/>
      <c r="AH48"/>
      <c r="AI48"/>
      <c r="AJ48"/>
      <c r="AK48"/>
      <c r="AL48"/>
      <c r="AM48"/>
      <c r="AN48"/>
      <c r="AR48" s="108">
        <v>1</v>
      </c>
      <c r="AS48" s="137">
        <v>1000</v>
      </c>
      <c r="AT48" s="110" t="s">
        <v>1270</v>
      </c>
      <c r="AU48" s="120" t="s">
        <v>1230</v>
      </c>
      <c r="AV48" s="110" t="s">
        <v>1270</v>
      </c>
      <c r="AY48" s="177"/>
    </row>
    <row r="49" spans="1:51" s="5" customFormat="1" ht="25.5" customHeight="1">
      <c r="A49" s="444"/>
      <c r="B49" s="11" t="s">
        <v>617</v>
      </c>
      <c r="C49" s="145"/>
      <c r="D49" s="145"/>
      <c r="E49" s="145"/>
      <c r="F49" s="145"/>
      <c r="G49" s="145"/>
      <c r="H49" s="145"/>
      <c r="I49" s="145"/>
      <c r="J49" s="145"/>
      <c r="K49" s="45"/>
      <c r="AC49"/>
      <c r="AD49"/>
      <c r="AE49"/>
      <c r="AF49"/>
      <c r="AG49"/>
      <c r="AH49"/>
      <c r="AI49"/>
      <c r="AJ49"/>
      <c r="AK49"/>
      <c r="AL49"/>
      <c r="AM49"/>
      <c r="AN49"/>
      <c r="AR49" s="108">
        <v>1</v>
      </c>
      <c r="AS49" s="137">
        <v>13</v>
      </c>
      <c r="AT49" s="110" t="s">
        <v>1271</v>
      </c>
      <c r="AU49" s="120" t="s">
        <v>1230</v>
      </c>
      <c r="AV49" s="110" t="s">
        <v>1271</v>
      </c>
      <c r="AY49" s="177"/>
    </row>
    <row r="50" spans="1:51" s="5" customFormat="1" ht="25.5" customHeight="1">
      <c r="A50" s="444"/>
      <c r="B50" s="11" t="s">
        <v>621</v>
      </c>
      <c r="C50" s="145"/>
      <c r="D50" s="145"/>
      <c r="E50" s="145"/>
      <c r="F50" s="145"/>
      <c r="G50" s="145"/>
      <c r="H50" s="145"/>
      <c r="I50" s="145"/>
      <c r="J50" s="145"/>
      <c r="K50" s="45"/>
      <c r="AC50"/>
      <c r="AD50"/>
      <c r="AE50"/>
      <c r="AF50"/>
      <c r="AG50"/>
      <c r="AH50"/>
      <c r="AI50"/>
      <c r="AJ50"/>
      <c r="AK50"/>
      <c r="AL50"/>
      <c r="AM50"/>
      <c r="AN50"/>
      <c r="AR50" s="108">
        <v>1</v>
      </c>
      <c r="AS50" s="137">
        <v>18</v>
      </c>
      <c r="AT50" s="110" t="s">
        <v>1272</v>
      </c>
      <c r="AU50" s="120" t="s">
        <v>1230</v>
      </c>
      <c r="AV50" s="110" t="s">
        <v>1272</v>
      </c>
      <c r="AY50" s="177"/>
    </row>
    <row r="51" spans="1:51" s="5" customFormat="1" ht="25.5" customHeight="1">
      <c r="A51" s="444"/>
      <c r="B51" s="11" t="s">
        <v>1181</v>
      </c>
      <c r="C51" s="145"/>
      <c r="D51" s="145"/>
      <c r="E51" s="145"/>
      <c r="F51" s="145"/>
      <c r="G51" s="145"/>
      <c r="H51" s="145"/>
      <c r="I51" s="145"/>
      <c r="J51" s="145"/>
      <c r="K51" s="45"/>
      <c r="AC51"/>
      <c r="AD51"/>
      <c r="AE51"/>
      <c r="AF51"/>
      <c r="AG51"/>
      <c r="AH51"/>
      <c r="AI51"/>
      <c r="AJ51"/>
      <c r="AK51"/>
      <c r="AL51"/>
      <c r="AM51"/>
      <c r="AN51"/>
      <c r="AY51" s="177"/>
    </row>
    <row r="52" spans="1:51" s="5" customFormat="1" ht="25.5" customHeight="1">
      <c r="A52" s="444"/>
      <c r="B52" s="11" t="s">
        <v>1182</v>
      </c>
      <c r="C52" s="145"/>
      <c r="D52" s="145"/>
      <c r="E52" s="145"/>
      <c r="F52" s="145"/>
      <c r="G52" s="145"/>
      <c r="H52" s="145"/>
      <c r="I52" s="145"/>
      <c r="J52" s="145"/>
      <c r="K52" s="45"/>
      <c r="AC52"/>
      <c r="AD52"/>
      <c r="AE52"/>
      <c r="AF52"/>
      <c r="AG52"/>
      <c r="AH52"/>
      <c r="AI52"/>
      <c r="AJ52"/>
      <c r="AK52"/>
      <c r="AL52"/>
      <c r="AM52"/>
      <c r="AN52"/>
      <c r="AR52"/>
      <c r="AS52"/>
      <c r="AT52"/>
      <c r="AU52"/>
      <c r="AY52" s="177"/>
    </row>
    <row r="53" spans="1:51" s="5" customFormat="1" ht="25.5" customHeight="1">
      <c r="A53" s="444"/>
      <c r="B53" s="11" t="s">
        <v>622</v>
      </c>
      <c r="C53" s="145"/>
      <c r="D53" s="145"/>
      <c r="E53" s="145"/>
      <c r="F53" s="145"/>
      <c r="G53" s="145"/>
      <c r="H53" s="145"/>
      <c r="I53" s="145"/>
      <c r="J53" s="145"/>
      <c r="K53" s="45"/>
      <c r="AC53"/>
      <c r="AD53"/>
      <c r="AE53"/>
      <c r="AF53"/>
      <c r="AG53"/>
      <c r="AH53"/>
      <c r="AI53"/>
      <c r="AJ53"/>
      <c r="AK53"/>
      <c r="AL53"/>
      <c r="AM53"/>
      <c r="AN53"/>
      <c r="AR53"/>
      <c r="AS53"/>
      <c r="AT53"/>
      <c r="AU53"/>
      <c r="AY53" s="177"/>
    </row>
    <row r="54" spans="1:51" s="5" customFormat="1" ht="25.5" customHeight="1">
      <c r="A54" s="444"/>
      <c r="B54" s="11" t="s">
        <v>623</v>
      </c>
      <c r="C54" s="145"/>
      <c r="D54" s="145"/>
      <c r="E54" s="145"/>
      <c r="F54" s="145"/>
      <c r="G54" s="145"/>
      <c r="H54" s="145"/>
      <c r="I54" s="145"/>
      <c r="J54" s="145"/>
      <c r="K54" s="45"/>
      <c r="AC54"/>
      <c r="AD54"/>
      <c r="AE54"/>
      <c r="AF54"/>
      <c r="AG54"/>
      <c r="AH54"/>
      <c r="AI54"/>
      <c r="AJ54"/>
      <c r="AK54"/>
      <c r="AL54"/>
      <c r="AM54"/>
      <c r="AN54"/>
      <c r="AR54"/>
      <c r="AS54"/>
      <c r="AT54"/>
      <c r="AU54"/>
      <c r="AY54" s="177"/>
    </row>
    <row r="55" spans="1:51" s="5" customFormat="1" ht="25.5" customHeight="1">
      <c r="A55" s="444"/>
      <c r="B55" s="203" t="s">
        <v>624</v>
      </c>
      <c r="C55" s="145"/>
      <c r="D55" s="145"/>
      <c r="E55" s="145"/>
      <c r="F55" s="145"/>
      <c r="G55" s="145"/>
      <c r="H55" s="145"/>
      <c r="I55" s="145"/>
      <c r="J55" s="145"/>
      <c r="K55" s="45"/>
      <c r="AC55"/>
      <c r="AD55"/>
      <c r="AE55"/>
      <c r="AF55"/>
      <c r="AG55"/>
      <c r="AH55"/>
      <c r="AI55"/>
      <c r="AJ55"/>
      <c r="AK55"/>
      <c r="AL55"/>
      <c r="AM55"/>
      <c r="AN55"/>
      <c r="AR55"/>
      <c r="AS55"/>
      <c r="AT55"/>
      <c r="AU55"/>
      <c r="AY55" s="177"/>
    </row>
    <row r="56" spans="1:51" s="5" customFormat="1" ht="25.5" customHeight="1">
      <c r="A56" s="444"/>
      <c r="B56" s="11" t="s">
        <v>625</v>
      </c>
      <c r="C56" s="145"/>
      <c r="D56" s="145"/>
      <c r="E56" s="145"/>
      <c r="F56" s="145"/>
      <c r="G56" s="145"/>
      <c r="H56" s="145"/>
      <c r="I56" s="145"/>
      <c r="J56" s="145"/>
      <c r="K56" s="45"/>
      <c r="AC56"/>
      <c r="AD56"/>
      <c r="AE56"/>
      <c r="AF56"/>
      <c r="AG56"/>
      <c r="AH56"/>
      <c r="AI56"/>
      <c r="AJ56"/>
      <c r="AK56"/>
      <c r="AL56"/>
      <c r="AM56"/>
      <c r="AN56"/>
      <c r="AR56"/>
      <c r="AS56"/>
      <c r="AT56"/>
      <c r="AU56"/>
      <c r="AY56" s="177"/>
    </row>
    <row r="57" spans="1:51" s="5" customFormat="1" ht="25.5" customHeight="1" thickBot="1">
      <c r="A57" s="444"/>
      <c r="B57" s="11" t="s">
        <v>587</v>
      </c>
      <c r="C57" s="145"/>
      <c r="D57" s="145"/>
      <c r="E57" s="145"/>
      <c r="F57" s="145"/>
      <c r="G57" s="145"/>
      <c r="H57" s="145"/>
      <c r="I57" s="145"/>
      <c r="J57" s="145"/>
      <c r="K57" s="45"/>
      <c r="AC57"/>
      <c r="AD57"/>
      <c r="AE57"/>
      <c r="AF57"/>
      <c r="AG57"/>
      <c r="AH57"/>
      <c r="AI57"/>
      <c r="AJ57"/>
      <c r="AK57"/>
      <c r="AL57"/>
      <c r="AM57"/>
      <c r="AN57"/>
      <c r="AR57"/>
      <c r="AS57"/>
      <c r="AT57"/>
      <c r="AU57"/>
      <c r="AY57" s="177"/>
    </row>
    <row r="58" spans="1:51" s="5" customFormat="1" ht="25.5" customHeight="1" thickBot="1">
      <c r="A58" s="444"/>
      <c r="B58" s="60" t="s">
        <v>1170</v>
      </c>
      <c r="C58" s="146">
        <f>SUM(C36:C57)</f>
        <v>0</v>
      </c>
      <c r="D58" s="146">
        <f t="shared" ref="D58:J58" si="5">SUM(D36:D57)</f>
        <v>0</v>
      </c>
      <c r="E58" s="146">
        <f t="shared" si="5"/>
        <v>0</v>
      </c>
      <c r="F58" s="146">
        <f t="shared" si="5"/>
        <v>0</v>
      </c>
      <c r="G58" s="146">
        <f t="shared" si="5"/>
        <v>0</v>
      </c>
      <c r="H58" s="146">
        <f t="shared" si="5"/>
        <v>0</v>
      </c>
      <c r="I58" s="146">
        <f t="shared" si="5"/>
        <v>0</v>
      </c>
      <c r="J58" s="146">
        <f t="shared" si="5"/>
        <v>0</v>
      </c>
      <c r="K58" s="45"/>
      <c r="AC58"/>
      <c r="AD58"/>
      <c r="AE58"/>
      <c r="AF58"/>
      <c r="AG58"/>
      <c r="AH58"/>
      <c r="AI58"/>
      <c r="AJ58"/>
      <c r="AK58"/>
      <c r="AL58"/>
      <c r="AM58"/>
      <c r="AN58"/>
      <c r="AR58"/>
      <c r="AS58"/>
      <c r="AT58"/>
      <c r="AU58"/>
      <c r="AY58" s="177"/>
    </row>
    <row r="59" spans="1:51" s="8" customFormat="1" ht="25.5" customHeight="1" thickBot="1">
      <c r="A59" s="424"/>
      <c r="B59" s="1" t="s">
        <v>589</v>
      </c>
      <c r="C59" s="366"/>
      <c r="D59" s="366"/>
      <c r="E59" s="366"/>
      <c r="F59" s="366"/>
      <c r="G59" s="366"/>
      <c r="H59" s="366"/>
      <c r="I59" s="366"/>
      <c r="J59" s="367"/>
      <c r="K59" s="45"/>
      <c r="AC59"/>
      <c r="AD59"/>
      <c r="AE59"/>
      <c r="AF59"/>
      <c r="AG59"/>
      <c r="AH59"/>
      <c r="AI59"/>
      <c r="AJ59"/>
      <c r="AK59"/>
      <c r="AL59"/>
      <c r="AM59"/>
      <c r="AN59"/>
      <c r="AR59"/>
      <c r="AS59"/>
      <c r="AT59"/>
      <c r="AU59"/>
      <c r="AY59" s="179"/>
    </row>
    <row r="60" spans="1:51" s="78" customFormat="1" ht="31.5" customHeight="1" thickTop="1" thickBot="1">
      <c r="A60" s="424"/>
      <c r="B60" s="84" t="str">
        <f>B35</f>
        <v>TIRAGEM:</v>
      </c>
      <c r="C60" s="134">
        <f>C35</f>
        <v>230</v>
      </c>
      <c r="D60" s="134">
        <f t="shared" ref="D60:J60" si="6">D35</f>
        <v>230</v>
      </c>
      <c r="E60" s="134">
        <f t="shared" si="6"/>
        <v>230</v>
      </c>
      <c r="F60" s="134">
        <f t="shared" si="6"/>
        <v>230</v>
      </c>
      <c r="G60" s="134">
        <f t="shared" si="6"/>
        <v>0</v>
      </c>
      <c r="H60" s="134">
        <f t="shared" si="6"/>
        <v>0</v>
      </c>
      <c r="I60" s="134">
        <f t="shared" si="6"/>
        <v>0</v>
      </c>
      <c r="J60" s="134">
        <f t="shared" si="6"/>
        <v>0</v>
      </c>
      <c r="K60" s="83"/>
      <c r="AC60"/>
      <c r="AD60"/>
      <c r="AE60"/>
      <c r="AF60"/>
      <c r="AG60"/>
      <c r="AH60"/>
      <c r="AI60"/>
      <c r="AJ60"/>
      <c r="AK60"/>
      <c r="AL60"/>
      <c r="AM60"/>
      <c r="AN60"/>
      <c r="AR60"/>
      <c r="AS60"/>
      <c r="AT60"/>
      <c r="AU60"/>
    </row>
    <row r="61" spans="1:51" ht="31.5" customHeight="1" thickTop="1" thickBot="1">
      <c r="B61" s="12"/>
      <c r="C61" s="147"/>
      <c r="D61" s="147"/>
      <c r="E61" s="148"/>
      <c r="F61" s="148"/>
      <c r="G61" s="148"/>
      <c r="H61" s="148"/>
      <c r="I61" s="148"/>
      <c r="J61" s="148"/>
    </row>
    <row r="62" spans="1:51" ht="30.75" customHeight="1" thickBot="1">
      <c r="B62" s="65" t="s">
        <v>1194</v>
      </c>
      <c r="C62" s="88" t="str">
        <f>IF(ISERROR(VLOOKUP(LINHA_DE_PRODUTO_01,$L$3:$N$30,3,FALSE)),"0",VLOOKUP(LINHA_DE_PRODUTO_01,$L$3:$N$30,3,FALSE))</f>
        <v>0,55</v>
      </c>
      <c r="D62" s="88" t="str">
        <f>IF(ISERROR(VLOOKUP(LINHA_DE_PRODUTO_02,$L$3:$N$30,3,FALSE)),"0",VLOOKUP(LINHA_DE_PRODUTO_02,$L$3:$N$30,3,FALSE))</f>
        <v>0,55</v>
      </c>
      <c r="E62" s="88" t="str">
        <f>IF(ISERROR(VLOOKUP(LINHA_DE_PRODUTO_03,$L$3:$N$30,3,FALSE)),"0",VLOOKUP(LINHA_DE_PRODUTO_03,$L$3:$N$30,3,FALSE))</f>
        <v>0,55</v>
      </c>
      <c r="F62" s="88" t="str">
        <f>IF(ISERROR(VLOOKUP(LINHA_DE_PRODUTO_04,$L$3:$N$30,3,FALSE)),"0",VLOOKUP(LINHA_DE_PRODUTO_04,$L$3:$N$30,3,FALSE))</f>
        <v>0,55</v>
      </c>
      <c r="G62" s="88" t="str">
        <f>IF(ISERROR(VLOOKUP(LINHA_DE_PRODUTO_05,$L$3:$N$30,3,FALSE)),"0",VLOOKUP(LINHA_DE_PRODUTO_05,$L$3:$N$30,3,FALSE))</f>
        <v>0</v>
      </c>
      <c r="H62" s="88" t="str">
        <f>IF(ISERROR(VLOOKUP(LINHA_DE_PRODUTO_06,$L$3:$N$30,3,FALSE)),"0",VLOOKUP(LINHA_DE_PRODUTO_06,$L$3:$N$30,3,FALSE))</f>
        <v>0</v>
      </c>
      <c r="I62" s="88" t="str">
        <f>IF(ISERROR(VLOOKUP(LINHA_DE_PRODUTO_07,$L$3:$N$30,3,FALSE)),"0",VLOOKUP(LINHA_DE_PRODUTO_07,$L$3:$N$30,3,FALSE))</f>
        <v>0</v>
      </c>
      <c r="J62" s="88" t="str">
        <f>IF(ISERROR(VLOOKUP(LINHA_DE_PRODUTO_08,$L$3:$N$30,3,FALSE)),"0",VLOOKUP(LINHA_DE_PRODUTO_08,$L$3:$N$30,3,FALSE))</f>
        <v>0</v>
      </c>
    </row>
    <row r="63" spans="1:51" ht="30.75" customHeight="1" thickBot="1">
      <c r="B63" s="65" t="s">
        <v>1193</v>
      </c>
      <c r="C63" s="87">
        <f>PrecoDeCompras_01*MARGEM_MINIMA_01</f>
        <v>0</v>
      </c>
      <c r="D63" s="87">
        <f>PrecoDeCompras_02*MARGEM_MINIMA_02</f>
        <v>0</v>
      </c>
      <c r="E63" s="87">
        <f>PrecoDeCompras_03*MARGEM_MINIMA_03</f>
        <v>0</v>
      </c>
      <c r="F63" s="87">
        <f>PrecoDeCompras_04*MARGEM_MINIMA_04</f>
        <v>0</v>
      </c>
      <c r="G63" s="87">
        <f>PrecoDeCompras_05*MARGEM_MINIMA_05</f>
        <v>0</v>
      </c>
      <c r="H63" s="87">
        <f>PrecoDeCompras_06*MARGEM_MINIMA_06</f>
        <v>0</v>
      </c>
      <c r="I63" s="87">
        <f>PrecoDeCompras_07*MARGEM_MINIMA_07</f>
        <v>0</v>
      </c>
      <c r="J63" s="87">
        <f>PrecoDeCompras_08*MARGEM_MINIMA_08</f>
        <v>0</v>
      </c>
    </row>
    <row r="64" spans="1:51" ht="31.5" customHeight="1" thickBot="1">
      <c r="C64" s="149"/>
      <c r="D64" s="149"/>
      <c r="E64" s="150"/>
      <c r="F64" s="150"/>
      <c r="G64" s="151"/>
      <c r="H64" s="151"/>
      <c r="I64" s="151"/>
      <c r="J64" s="151"/>
    </row>
    <row r="65" spans="2:10" ht="31.5" customHeight="1" thickBot="1">
      <c r="B65" s="65" t="s">
        <v>1178</v>
      </c>
      <c r="C65" s="184">
        <v>0</v>
      </c>
      <c r="D65" s="184">
        <v>0</v>
      </c>
      <c r="E65" s="184">
        <v>0</v>
      </c>
      <c r="F65" s="184">
        <v>0</v>
      </c>
      <c r="G65" s="96" t="s">
        <v>1131</v>
      </c>
      <c r="H65" s="96" t="s">
        <v>1131</v>
      </c>
      <c r="I65" s="96" t="s">
        <v>1131</v>
      </c>
      <c r="J65" s="96" t="s">
        <v>1131</v>
      </c>
    </row>
    <row r="66" spans="2:10" ht="31.5" customHeight="1">
      <c r="B66" s="64" t="s">
        <v>1172</v>
      </c>
      <c r="C66" s="81">
        <f>IF(ISERROR(TIRAGEM_01*ValorUnitarioMKT_01),"0",TIRAGEM_01*ValorUnitarioMKT_01)</f>
        <v>0</v>
      </c>
      <c r="D66" s="81">
        <f>IF(ISERROR(TIRAGEM_02*ValorUnitarioMKT_02),"0",TIRAGEM_02*ValorUnitarioMKT_02)</f>
        <v>0</v>
      </c>
      <c r="E66" s="81">
        <f>IF(ISERROR(TIRAGEM_03*ValorUnitarioMKT_03),"0",TIRAGEM_03*ValorUnitarioMKT_03)</f>
        <v>0</v>
      </c>
      <c r="F66" s="81">
        <f>IF(ISERROR(TIRAGEM_04*ValorUnitarioMKT_04),"0",TIRAGEM_04*ValorUnitarioMKT_04)</f>
        <v>0</v>
      </c>
      <c r="G66" s="81">
        <f>IF(ISERROR(TIRAGEM_05*ValorUnitarioMKT_05),"0",TIRAGEM_05*ValorUnitarioMKT_05)</f>
        <v>0</v>
      </c>
      <c r="H66" s="81">
        <f>IF(ISERROR(TIRAGEM_06*ValorUnitarioMKT_06),"0",TIRAGEM_06*ValorUnitarioMKT_06)</f>
        <v>0</v>
      </c>
      <c r="I66" s="81">
        <f>IF(ISERROR(TIRAGEM_07*ValorUnitarioMKT_07),"0",TIRAGEM_07*ValorUnitarioMKT_07)</f>
        <v>0</v>
      </c>
      <c r="J66" s="81">
        <f>IF(ISERROR(TIRAGEM_08*ValorUnitarioMKT_08),"0",TIRAGEM_08*ValorUnitarioMKT_08)</f>
        <v>0</v>
      </c>
    </row>
    <row r="67" spans="2:10" ht="31.5" customHeight="1">
      <c r="B67" s="63" t="s">
        <v>1179</v>
      </c>
      <c r="C67" s="80">
        <f>IF(ISERROR(PrecoMKT_01/TIRAGEM_01),"0",PrecoMKT_01/TIRAGEM_01)</f>
        <v>0</v>
      </c>
      <c r="D67" s="80">
        <f>IF(ISERROR(PrecoMKT_02/TIRAGEM_02),"0",PrecoMKT_02/TIRAGEM_02)</f>
        <v>0</v>
      </c>
      <c r="E67" s="80">
        <f>IF(ISERROR(PrecoMKT_03/TIRAGEM_03),"0",PrecoMKT_03/TIRAGEM_03)</f>
        <v>0</v>
      </c>
      <c r="F67" s="80">
        <f>IF(ISERROR(PrecoMKT_04/TIRAGEM_04),"0",PrecoMKT_04/TIRAGEM_04)</f>
        <v>0</v>
      </c>
      <c r="G67" s="80" t="str">
        <f>IF(ISERROR(PrecoMKT_05/TIRAGEM_05),"0",PrecoMKT_05/TIRAGEM_05)</f>
        <v>0</v>
      </c>
      <c r="H67" s="80" t="str">
        <f>IF(ISERROR(PrecoMKT_06/TIRAGEM_06),"0",PrecoMKT_06/TIRAGEM_06)</f>
        <v>0</v>
      </c>
      <c r="I67" s="80" t="str">
        <f>IF(ISERROR(PrecoMKT_07/TIRAGEM_07),"0",PrecoMKT_07/TIRAGEM_07)</f>
        <v>0</v>
      </c>
      <c r="J67" s="80" t="str">
        <f>IF(ISERROR(PrecoMKT_08/TIRAGEM_08),"0",PrecoMKT_08/TIRAGEM_08)</f>
        <v>0</v>
      </c>
    </row>
    <row r="68" spans="2:10" ht="31.5" customHeight="1">
      <c r="B68" s="63" t="s">
        <v>1180</v>
      </c>
      <c r="C68" s="61" t="str">
        <f>IF(ISERROR(MargemBrutaMKT_01/PrecoMKT_01),"0",MargemBrutaMKT_01/PrecoMKT_01)</f>
        <v>0</v>
      </c>
      <c r="D68" s="61" t="str">
        <f>IF(ISERROR(MargemBrutaMKT_02/PrecoMKT_02),"0",MargemBrutaMKT_02/PrecoMKT_02)</f>
        <v>0</v>
      </c>
      <c r="E68" s="61" t="str">
        <f>IF(ISERROR(MargemBrutaMKT_03/PrecoMKT_03),"0",MargemBrutaMKT_03/PrecoMKT_03)</f>
        <v>0</v>
      </c>
      <c r="F68" s="61" t="str">
        <f>IF(ISERROR(MargemBrutaMKT_04/PrecoMKT_04),"0",MargemBrutaMKT_04/PrecoMKT_04)</f>
        <v>0</v>
      </c>
      <c r="G68" s="61" t="str">
        <f>IF(ISERROR(MargemBrutaMKT_05/PrecoMKT_05),"0",MargemBrutaMKT_05/PrecoMKT_05)</f>
        <v>0</v>
      </c>
      <c r="H68" s="61" t="str">
        <f>IF(ISERROR(MargemBrutaMKT_06/PrecoMKT_06),"0",MargemBrutaMKT_06/PrecoMKT_06)</f>
        <v>0</v>
      </c>
      <c r="I68" s="61" t="str">
        <f>IF(ISERROR(MargemBrutaMKT_07/PrecoMKT_07),"0",MargemBrutaMKT_07/PrecoMKT_07)</f>
        <v>0</v>
      </c>
      <c r="J68" s="61" t="str">
        <f>IF(ISERROR(MargemBrutaMKT_08/PrecoMKT_08),"0",MargemBrutaMKT_08/PrecoMKT_08)</f>
        <v>0</v>
      </c>
    </row>
    <row r="69" spans="2:10" ht="31.5" customHeight="1">
      <c r="B69" s="63" t="s">
        <v>1177</v>
      </c>
      <c r="C69" s="80">
        <f>IF(ISERROR(PrecoMKT_01-SomaCustos_01),"0",PrecoMKT_01-SomaCustos_01)</f>
        <v>0</v>
      </c>
      <c r="D69" s="80">
        <f>IF(ISERROR(PrecoMKT_02-SomaCustos_02),"0",PrecoMKT_02-SomaCustos_02)</f>
        <v>0</v>
      </c>
      <c r="E69" s="80">
        <f>IF(ISERROR(PrecoMKT_03-SomaCustos_03),"0",PrecoMKT_03-SomaCustos_03)</f>
        <v>0</v>
      </c>
      <c r="F69" s="80">
        <f>IF(ISERROR(PrecoMKT_04-SomaCustos_04),"0",PrecoMKT_04-SomaCustos_04)</f>
        <v>0</v>
      </c>
      <c r="G69" s="80">
        <f>IF(ISERROR(PrecoMKT_05-SomaCustos_05),"0",PrecoMKT_05-SomaCustos_05)</f>
        <v>0</v>
      </c>
      <c r="H69" s="80">
        <f>IF(ISERROR(PrecoMKT_06-SomaCustos_06),"0",PrecoMKT_06-SomaCustos_06)</f>
        <v>0</v>
      </c>
      <c r="I69" s="80">
        <f>IF(ISERROR(PrecoMKT_07-SomaCustos_07),"0",PrecoMKT_07-SomaCustos_07)</f>
        <v>0</v>
      </c>
      <c r="J69" s="80">
        <f>IF(ISERROR(PrecoMKT_08-SomaCustos_08),"0",PrecoMKT_08-SomaCustos_08)</f>
        <v>0</v>
      </c>
    </row>
    <row r="70" spans="2:10" ht="31.5" customHeight="1" thickBot="1">
      <c r="C70" s="149"/>
      <c r="D70" s="149"/>
      <c r="E70" s="150"/>
      <c r="F70" s="150"/>
      <c r="G70" s="151"/>
      <c r="H70" s="151"/>
      <c r="I70" s="151"/>
      <c r="J70" s="151"/>
    </row>
    <row r="71" spans="2:10" ht="30.75" customHeight="1" thickBot="1">
      <c r="B71" s="65" t="s">
        <v>1171</v>
      </c>
      <c r="C71" s="185">
        <v>0.05</v>
      </c>
      <c r="D71" s="185">
        <v>0.05</v>
      </c>
      <c r="E71" s="185">
        <v>0.05</v>
      </c>
      <c r="F71" s="185">
        <v>0.05</v>
      </c>
      <c r="G71" s="97" t="s">
        <v>1183</v>
      </c>
      <c r="H71" s="97" t="s">
        <v>1183</v>
      </c>
      <c r="I71" s="97" t="s">
        <v>1183</v>
      </c>
      <c r="J71" s="98" t="s">
        <v>1183</v>
      </c>
    </row>
    <row r="72" spans="2:10" ht="30.75" customHeight="1" thickBot="1">
      <c r="B72" s="76" t="s">
        <v>1173</v>
      </c>
      <c r="C72" s="82">
        <f>IF(ISERROR(PrecoMKT_01*(100%-DescontoPadrao_01)),"0",PrecoMKT_01*(100%-DescontoPadrao_01))</f>
        <v>0</v>
      </c>
      <c r="D72" s="82">
        <f>IF(ISERROR(PrecoMKT_02*(100%-DescontoPadrao_02)),"0",PrecoMKT_02*(100%-DescontoPadrao_02))</f>
        <v>0</v>
      </c>
      <c r="E72" s="82">
        <f>IF(ISERROR(PrecoMKT_03*(100%-DescontoPadrao_03)),"0",PrecoMKT_03*(100%-DescontoPadrao_03))</f>
        <v>0</v>
      </c>
      <c r="F72" s="82">
        <f>IF(ISERROR(PrecoMKT_04*(100%-DescontoPadrao_04)),"0",PrecoMKT_04*(100%-DescontoPadrao_04))</f>
        <v>0</v>
      </c>
      <c r="G72" s="82">
        <f>IF(ISERROR(PrecoMKT_05*(100%-DescontoPadrao_05)),"0",PrecoMKT_05*(100%-DescontoPadrao_05))</f>
        <v>0</v>
      </c>
      <c r="H72" s="82">
        <f>IF(ISERROR(PrecoMKT_06*(100%-DescontoPadrao_06)),"0",PrecoMKT_06*(100%-DescontoPadrao_06))</f>
        <v>0</v>
      </c>
      <c r="I72" s="82">
        <f>IF(ISERROR(PrecoMKT_07*(100%-DescontoPadrao_07)),"0",PrecoMKT_07*(100%-DescontoPadrao_07))</f>
        <v>0</v>
      </c>
      <c r="J72" s="82">
        <f>IF(ISERROR(PrecoMKT_08*(100%-DescontoPadrao_08)),"0",PrecoMKT_08*(100%-DescontoPadrao_08))</f>
        <v>0</v>
      </c>
    </row>
    <row r="73" spans="2:10" ht="30.75" customHeight="1" thickBot="1">
      <c r="B73" s="65" t="s">
        <v>1172</v>
      </c>
      <c r="C73" s="184">
        <v>0</v>
      </c>
      <c r="D73" s="184">
        <v>0</v>
      </c>
      <c r="E73" s="184">
        <v>0</v>
      </c>
      <c r="F73" s="184">
        <v>0</v>
      </c>
      <c r="G73" s="96" t="s">
        <v>1131</v>
      </c>
      <c r="H73" s="96" t="s">
        <v>1131</v>
      </c>
      <c r="I73" s="96" t="s">
        <v>1131</v>
      </c>
      <c r="J73" s="99" t="s">
        <v>1131</v>
      </c>
    </row>
    <row r="74" spans="2:10" ht="30.75" customHeight="1">
      <c r="B74" s="64" t="s">
        <v>1174</v>
      </c>
      <c r="C74" s="77" t="str">
        <f>IF(ISERROR(+(PrecoDeCompras_01-SomaCustos_01)/PrecoDeCompras_01),"0",+(PrecoDeCompras_01-SomaCustos_01)/PrecoDeCompras_01)</f>
        <v>0</v>
      </c>
      <c r="D74" s="77" t="str">
        <f>IF(ISERROR(+(PrecoDeCompras_02-SomaCustos_02)/PrecoDeCompras_02),"0",+(PrecoDeCompras_02-SomaCustos_02)/PrecoDeCompras_02)</f>
        <v>0</v>
      </c>
      <c r="E74" s="77" t="str">
        <f>IF(ISERROR(+(PrecoDeCompras_03-SomaCustos_03)/PrecoDeCompras_03),"0",+(PrecoDeCompras_03-SomaCustos_03)/PrecoDeCompras_03)</f>
        <v>0</v>
      </c>
      <c r="F74" s="77" t="str">
        <f>IF(ISERROR(+(PrecoDeCompras_04-SomaCustos_04)/PrecoDeCompras_04),"0",+(PrecoDeCompras_04-SomaCustos_04)/PrecoDeCompras_04)</f>
        <v>0</v>
      </c>
      <c r="G74" s="77" t="str">
        <f>IF(ISERROR(+(PrecoDeCompras_05-SomaCustos_05)/PrecoDeCompras_05),"0",+(PrecoDeCompras_05-SomaCustos_05)/PrecoDeCompras_05)</f>
        <v>0</v>
      </c>
      <c r="H74" s="77" t="str">
        <f>IF(ISERROR(+(PrecoDeCompras_06-SomaCustos_06)/PrecoDeCompras_06),"0",+(PrecoDeCompras_06-SomaCustos_06)/PrecoDeCompras_06)</f>
        <v>0</v>
      </c>
      <c r="I74" s="77" t="str">
        <f>IF(ISERROR(+(PrecoDeCompras_07-SomaCustos_07)/PrecoDeCompras_07),"0",+(PrecoDeCompras_07-SomaCustos_07)/PrecoDeCompras_07)</f>
        <v>0</v>
      </c>
      <c r="J74" s="77" t="str">
        <f>IF(ISERROR(+(PrecoDeCompras_08-SomaCustos_08)/PrecoDeCompras_08),"0",+(PrecoDeCompras_08-SomaCustos_08)/PrecoDeCompras_08)</f>
        <v>0</v>
      </c>
    </row>
    <row r="75" spans="2:10" ht="30.75" customHeight="1">
      <c r="B75" s="63" t="s">
        <v>1175</v>
      </c>
      <c r="C75" s="80">
        <f>IF(ISERROR(PrecoDeCompras_01/TIRAGEM_01),"0",PrecoDeCompras_01/TIRAGEM_01)</f>
        <v>0</v>
      </c>
      <c r="D75" s="80">
        <f>IF(ISERROR(PrecoDeCompras_02/TIRAGEM_02),"0",PrecoDeCompras_02/TIRAGEM_02)</f>
        <v>0</v>
      </c>
      <c r="E75" s="80">
        <f>IF(ISERROR(PrecoDeCompras_03/TIRAGEM_03),"0",PrecoDeCompras_03/TIRAGEM_03)</f>
        <v>0</v>
      </c>
      <c r="F75" s="80">
        <f>IF(ISERROR(PrecoDeCompras_04/TIRAGEM_04),"0",PrecoDeCompras_04/TIRAGEM_04)</f>
        <v>0</v>
      </c>
      <c r="G75" s="80" t="str">
        <f>IF(ISERROR(PrecoDeCompras_05/TIRAGEM_05),"0",PrecoDeCompras_05/TIRAGEM_05)</f>
        <v>0</v>
      </c>
      <c r="H75" s="80" t="str">
        <f>IF(ISERROR(PrecoDeCompras_06/TIRAGEM_06),"0",PrecoDeCompras_06/TIRAGEM_06)</f>
        <v>0</v>
      </c>
      <c r="I75" s="80" t="str">
        <f>IF(ISERROR(PrecoDeCompras_07/TIRAGEM_07),"0",PrecoDeCompras_07/TIRAGEM_07)</f>
        <v>0</v>
      </c>
      <c r="J75" s="80" t="str">
        <f>IF(ISERROR(PrecoDeCompras_08/TIRAGEM_08),"0",PrecoDeCompras_08/TIRAGEM_08)</f>
        <v>0</v>
      </c>
    </row>
    <row r="76" spans="2:10" ht="30.75" customHeight="1">
      <c r="B76" s="63" t="s">
        <v>1176</v>
      </c>
      <c r="C76" s="62" t="str">
        <f>IF(ISERROR(+(PrecoDeCompras_01/PrecoMKT_01)-1),"0",+(PrecoDeCompras_01/PrecoMKT_01)-1)</f>
        <v>0</v>
      </c>
      <c r="D76" s="62" t="str">
        <f>IF(ISERROR(+(PrecoDeCompras_02/PrecoMKT_02)-1),"0",+(PrecoDeCompras_02/PrecoMKT_02)-1)</f>
        <v>0</v>
      </c>
      <c r="E76" s="62" t="str">
        <f>IF(ISERROR(+(PrecoDeCompras_03/PrecoMKT_03)-1),"0",+(PrecoDeCompras_03/PrecoMKT_03)-1)</f>
        <v>0</v>
      </c>
      <c r="F76" s="62" t="str">
        <f>IF(ISERROR(+(PrecoDeCompras_04/PrecoMKT_04)-1),"0",+(PrecoDeCompras_04/PrecoMKT_04)-1)</f>
        <v>0</v>
      </c>
      <c r="G76" s="62" t="str">
        <f>IF(ISERROR(+(PrecoDeCompras_05/PrecoMKT_05)-1),"0",+(PrecoDeCompras_05/PrecoMKT_05)-1)</f>
        <v>0</v>
      </c>
      <c r="H76" s="62" t="str">
        <f>IF(ISERROR(+(PrecoDeCompras_06/PrecoMKT_06)-1),"0",+(PrecoDeCompras_06/PrecoMKT_06)-1)</f>
        <v>0</v>
      </c>
      <c r="I76" s="62" t="str">
        <f>IF(ISERROR(+(PrecoDeCompras_07/PrecoMKT_07)-1),"0",+(PrecoDeCompras_07/PrecoMKT_07)-1)</f>
        <v>0</v>
      </c>
      <c r="J76" s="62" t="str">
        <f>IF(ISERROR(+(PrecoDeCompras_08/PrecoMKT_08)-1),"0",+(PrecoDeCompras_08/PrecoMKT_08)-1)</f>
        <v>0</v>
      </c>
    </row>
    <row r="77" spans="2:10" ht="30.75" customHeight="1">
      <c r="B77" s="63" t="s">
        <v>1177</v>
      </c>
      <c r="C77" s="80">
        <f>IF(ISERROR(PrecoTotal_01-SomaCustos_01),"0",PrecoTotal_01-SomaCustos_01)</f>
        <v>0</v>
      </c>
      <c r="D77" s="80">
        <f>IF(ISERROR(PrecoTotal_02-SomaCustos_02),"0",PrecoTotal_02-SomaCustos_02)</f>
        <v>0</v>
      </c>
      <c r="E77" s="80">
        <f>IF(ISERROR(PrecoTotal_03-SomaCustos_03),"0",PrecoTotal_03-SomaCustos_03)</f>
        <v>0</v>
      </c>
      <c r="F77" s="80">
        <f>IF(ISERROR(PrecoTotal_04-SomaCustos_04),"0",PrecoTotal_04-SomaCustos_04)</f>
        <v>0</v>
      </c>
      <c r="G77" s="80">
        <f>IF(ISERROR(PrecoTotal_05-SomaCustos_05),"0",PrecoTotal_05-SomaCustos_05)</f>
        <v>0</v>
      </c>
      <c r="H77" s="80">
        <f>IF(ISERROR(PrecoTotal_06-SomaCustos_06),"0",PrecoTotal_06-SomaCustos_06)</f>
        <v>0</v>
      </c>
      <c r="I77" s="80">
        <f>IF(ISERROR(PrecoTotal_07-SomaCustos_07),"0",PrecoTotal_07-SomaCustos_07)</f>
        <v>0</v>
      </c>
      <c r="J77" s="80">
        <f>IF(ISERROR(PrecoTotal_08-SomaCustos_08),"0",PrecoTotal_08-SomaCustos_08)</f>
        <v>0</v>
      </c>
    </row>
    <row r="78" spans="2:10" ht="31.5" customHeight="1">
      <c r="C78" s="152"/>
      <c r="D78" s="152"/>
      <c r="E78" s="153"/>
      <c r="F78" s="153"/>
      <c r="G78" s="154"/>
      <c r="H78" s="154"/>
      <c r="I78" s="154"/>
      <c r="J78" s="154"/>
    </row>
    <row r="79" spans="2:10" ht="30.75" customHeight="1">
      <c r="B79" s="79" t="s">
        <v>1190</v>
      </c>
      <c r="C79" s="103">
        <v>0.90749999999999997</v>
      </c>
      <c r="D79" s="152"/>
      <c r="E79" s="153"/>
      <c r="F79" s="153"/>
      <c r="G79" s="154"/>
      <c r="H79" s="154"/>
      <c r="I79" s="154"/>
      <c r="J79" s="154"/>
    </row>
    <row r="80" spans="2:10" ht="30.75" customHeight="1">
      <c r="B80" s="79" t="s">
        <v>1191</v>
      </c>
      <c r="C80" s="103">
        <v>0.85750000000000004</v>
      </c>
      <c r="D80" s="149"/>
      <c r="E80" s="150"/>
      <c r="F80" s="150"/>
      <c r="G80" s="151"/>
      <c r="H80" s="151"/>
      <c r="I80" s="151"/>
      <c r="J80" s="151"/>
    </row>
    <row r="81" spans="2:10" ht="31.5" customHeight="1" thickBot="1">
      <c r="C81" s="149"/>
      <c r="D81" s="149"/>
      <c r="E81" s="150"/>
      <c r="F81" s="150"/>
      <c r="G81" s="151"/>
      <c r="H81" s="151"/>
      <c r="I81" s="151"/>
      <c r="J81" s="151"/>
    </row>
    <row r="82" spans="2:10" ht="31.5" customHeight="1">
      <c r="B82" s="89" t="s">
        <v>1189</v>
      </c>
      <c r="C82" s="90">
        <f>IF(C15="PRODUTO",IF(ISERROR(+PrecoMKT_01/PRODUTO),"",+PrecoMKT_01/PRODUTO),IF(ISERROR(+PrecoMKT_01/SERVICO),"",+PrecoMKT_01/SERVICO))</f>
        <v>0</v>
      </c>
      <c r="D82" s="90">
        <f>IF(D15="PRODUTO",IF(ISERROR(+PrecoMKT_02/PRODUTO),"",+PrecoMKT_02/PRODUTO),IF(ISERROR(+PrecoMKT_02/SERVICO),"",+PrecoMKT_02/SERVICO))</f>
        <v>0</v>
      </c>
      <c r="E82" s="90">
        <f>IF(E15="PRODUTO",IF(ISERROR(+PrecoMKT_03/PRODUTO),"",+PrecoMKT_03/PRODUTO),IF(ISERROR(+PrecoMKT_03/SERVICO),"",+PrecoMKT_03/SERVICO))</f>
        <v>0</v>
      </c>
      <c r="F82" s="90">
        <f>IF(F15="PRODUTO",IF(ISERROR(+PrecoMKT_04/PRODUTO),"",+PrecoMKT_04/PRODUTO),IF(ISERROR(+PrecoMKT_04/SERVICO),"",+PrecoMKT_04/SERVICO))</f>
        <v>0</v>
      </c>
      <c r="G82" s="90">
        <f>IF(G15="PRODUTO",IF(ISERROR(+PrecoMKT_05/PRODUTO),"",+PrecoMKT_05/PRODUTO),IF(ISERROR(+PrecoMKT_05/SERVICO),"",+PrecoMKT_05/SERVICO))</f>
        <v>0</v>
      </c>
      <c r="H82" s="90">
        <f>IF(H15="PRODUTO",IF(ISERROR(+PrecoMKT_06/PRODUTO),"",+PrecoMKT_06/PRODUTO),IF(ISERROR(+PrecoMKT_06/SERVICO),"",+PrecoMKT_06/SERVICO))</f>
        <v>0</v>
      </c>
      <c r="I82" s="90">
        <f>IF(I15="PRODUTO",IF(ISERROR(+PrecoMKT_07/PRODUTO),"",+PrecoMKT_07/PRODUTO),IF(ISERROR(+PrecoMKT_07/SERVICO),"",+PrecoMKT_07/SERVICO))</f>
        <v>0</v>
      </c>
      <c r="J82" s="91">
        <f>IF(J15="PRODUTO",IF(ISERROR(+PrecoMKT_08/PRODUTO),"",+PrecoMKT_08/PRODUTO),IF(ISERROR(+PrecoMKT_08/SERVICO),"",+PrecoMKT_08/SERVICO))</f>
        <v>0</v>
      </c>
    </row>
    <row r="83" spans="2:10" ht="31.5" customHeight="1">
      <c r="B83" s="92" t="s">
        <v>1188</v>
      </c>
      <c r="C83" s="200"/>
      <c r="D83" s="200"/>
      <c r="E83" s="200"/>
      <c r="F83" s="200"/>
      <c r="G83" s="100">
        <v>0</v>
      </c>
      <c r="H83" s="100">
        <v>0</v>
      </c>
      <c r="I83" s="100">
        <v>0</v>
      </c>
      <c r="J83" s="101">
        <v>0</v>
      </c>
    </row>
    <row r="84" spans="2:10" ht="31.5" customHeight="1" thickBot="1">
      <c r="B84" s="93" t="s">
        <v>1187</v>
      </c>
      <c r="C84" s="94">
        <f>IF(ISERROR(+ARREDONDAMENT0_01/TIRAGEM_01),"0",+ARREDONDAMENT0_01/TIRAGEM_01)</f>
        <v>0</v>
      </c>
      <c r="D84" s="94">
        <f>IF(ISERROR(+ARREDONDAMENT0_02/TIRAGEM_02),"0",+ARREDONDAMENT0_02/TIRAGEM_02)</f>
        <v>0</v>
      </c>
      <c r="E84" s="94">
        <f>IF(ISERROR(+ARREDONDAMENT0_03/TIRAGEM_03),"0",+ARREDONDAMENT0_03/TIRAGEM_03)</f>
        <v>0</v>
      </c>
      <c r="F84" s="94">
        <f>IF(ISERROR(+ARREDONDAMENT0_04/TIRAGEM_04),"0",+ARREDONDAMENT0_04/TIRAGEM_04)</f>
        <v>0</v>
      </c>
      <c r="G84" s="94" t="str">
        <f>IF(ISERROR(+ARREDONDAMENT0_05/TIRAGEM_05),"0",+ARREDONDAMENT0_05/TIRAGEM_05)</f>
        <v>0</v>
      </c>
      <c r="H84" s="94" t="str">
        <f>IF(ISERROR(+ARREDONDAMENT0_06/TIRAGEM_06),"0",+ARREDONDAMENT0_06/TIRAGEM_06)</f>
        <v>0</v>
      </c>
      <c r="I84" s="94" t="str">
        <f>IF(ISERROR(+ARREDONDAMENT0_07/TIRAGEM_07),"0",+ARREDONDAMENT0_07/TIRAGEM_07)</f>
        <v>0</v>
      </c>
      <c r="J84" s="95" t="str">
        <f>IF(ISERROR(+ARREDONDAMENT0_08/TIRAGEM_08),"0",+ARREDONDAMENT0_08/TIRAGEM_08)</f>
        <v>0</v>
      </c>
    </row>
    <row r="85" spans="2:10" ht="31.5" customHeight="1">
      <c r="C85" s="149"/>
      <c r="D85" s="149"/>
      <c r="E85" s="150"/>
      <c r="F85" s="150"/>
      <c r="G85" s="151"/>
      <c r="H85" s="151"/>
      <c r="I85" s="151"/>
      <c r="J85" s="151"/>
    </row>
    <row r="86" spans="2:10" ht="31.5" customHeight="1">
      <c r="B86" s="63" t="s">
        <v>1192</v>
      </c>
      <c r="C86" s="86">
        <f>IF(ISERROR(PRECO_VENDA_GROSS_01*FASCICULOS_01),"",PRECO_VENDA_GROSS_01*FASCICULOS_01)</f>
        <v>0</v>
      </c>
      <c r="D86" s="86">
        <f>IF(ISERROR(PRECO_VENDA_GROSS_02*FASCICULOS_02),"",PRECO_VENDA_GROSS_02*FASCICULOS_02)</f>
        <v>0</v>
      </c>
      <c r="E86" s="86">
        <f>IF(ISERROR(PRECO_VENDA_GROSS_03*FASCICULOS_03),"",PRECO_VENDA_GROSS_03*FASCICULOS_03)</f>
        <v>0</v>
      </c>
      <c r="F86" s="86">
        <f>IF(ISERROR(PRECO_VENDA_GROSS_04*FASCICULOS_04),"",PRECO_VENDA_GROSS_04*FASCICULOS_04)</f>
        <v>0</v>
      </c>
      <c r="G86" s="86">
        <f>IF(ISERROR(PRECO_VENDA_GROSS_05*FASCICULOS_05),"",PRECO_VENDA_GROSS_05*FASCICULOS_05)</f>
        <v>0</v>
      </c>
      <c r="H86" s="86">
        <f>IF(ISERROR(PRECO_VENDA_GROSS_06*FASCICULOS_06),"",PRECO_VENDA_GROSS_06*FASCICULOS_06)</f>
        <v>0</v>
      </c>
      <c r="I86" s="86">
        <f>IF(ISERROR(PRECO_VENDA_GROSS_07*FASCICULOS_07),"",PRECO_VENDA_GROSS_07*FASCICULOS_07)</f>
        <v>0</v>
      </c>
      <c r="J86" s="86">
        <f>IF(ISERROR(PRECO_VENDA_GROSS_08*FASCICULOS_08),"",PRECO_VENDA_GROSS_08*FASCICULOS_08)</f>
        <v>0</v>
      </c>
    </row>
    <row r="1048508" spans="1:246" s="19" customFormat="1">
      <c r="A1048508" s="3"/>
      <c r="B1048508" s="31" t="s">
        <v>1129</v>
      </c>
      <c r="E1048508" s="3"/>
      <c r="F1048508" s="3"/>
      <c r="G1048508" s="13"/>
      <c r="H1048508" s="13"/>
      <c r="I1048508" s="13"/>
      <c r="J1048508" s="13"/>
      <c r="K1048508" s="46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/>
      <c r="AD1048508"/>
      <c r="AE1048508"/>
      <c r="AF1048508"/>
      <c r="AG1048508"/>
      <c r="AH1048508"/>
      <c r="AI1048508"/>
      <c r="AJ1048508"/>
      <c r="AK1048508"/>
      <c r="AL1048508"/>
      <c r="AM1048508"/>
      <c r="AN1048508"/>
      <c r="AO1048508" s="3"/>
      <c r="AP1048508" s="3"/>
      <c r="AQ1048508" s="3"/>
      <c r="AR1048508"/>
      <c r="AS1048508"/>
      <c r="AT1048508"/>
      <c r="AU1048508"/>
      <c r="AV1048508" s="3"/>
      <c r="AW1048508" s="3"/>
      <c r="AX1048508" s="3"/>
      <c r="AY1048508" s="181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</row>
    <row r="1048509" spans="1:246" s="19" customFormat="1">
      <c r="A1048509" s="3"/>
      <c r="B1048509" s="31" t="s">
        <v>1128</v>
      </c>
      <c r="E1048509" s="3"/>
      <c r="F1048509" s="3"/>
      <c r="G1048509" s="13"/>
      <c r="H1048509" s="13"/>
      <c r="I1048509" s="13"/>
      <c r="J1048509" s="13"/>
      <c r="K1048509" s="46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/>
      <c r="AD1048509"/>
      <c r="AE1048509"/>
      <c r="AF1048509"/>
      <c r="AG1048509"/>
      <c r="AH1048509"/>
      <c r="AI1048509"/>
      <c r="AJ1048509"/>
      <c r="AK1048509"/>
      <c r="AL1048509"/>
      <c r="AM1048509"/>
      <c r="AN1048509"/>
      <c r="AO1048509" s="3"/>
      <c r="AP1048509" s="3"/>
      <c r="AQ1048509" s="3"/>
      <c r="AR1048509"/>
      <c r="AS1048509"/>
      <c r="AT1048509"/>
      <c r="AU1048509"/>
      <c r="AV1048509" s="3"/>
      <c r="AW1048509" s="3"/>
      <c r="AX1048509" s="3"/>
      <c r="AY1048509" s="181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</row>
  </sheetData>
  <protectedRanges>
    <protectedRange sqref="C65:F65" name="MKT"/>
    <protectedRange sqref="C71:F71" name="DESCONTOS"/>
    <protectedRange sqref="C73:F73" name="TOTAL"/>
    <protectedRange sqref="B31:B34" name="ACABAMENTO"/>
    <protectedRange sqref="C25:F29" name="IMPRESSAO"/>
    <protectedRange sqref="C20:J23" name="MOEDA"/>
    <protectedRange sqref="C17:J19" name="IDIOMA"/>
    <protectedRange sqref="C4:C6 G3:G4 J4" name="CLIENTE"/>
    <protectedRange sqref="C15:J15" name="VENDA"/>
    <protectedRange sqref="C13:F14" name="LINHA"/>
    <protectedRange sqref="C8:C10" name="PUBLISHER"/>
    <protectedRange sqref="C83:F83" name="ARREDONDAMENTO"/>
    <protectedRange sqref="C12:J12" name="VENDIDO"/>
  </protectedRanges>
  <dataConsolidate/>
  <mergeCells count="35">
    <mergeCell ref="W3:Z3"/>
    <mergeCell ref="C4:E4"/>
    <mergeCell ref="B1:J1"/>
    <mergeCell ref="L1:N1"/>
    <mergeCell ref="P1:Q1"/>
    <mergeCell ref="S1:T1"/>
    <mergeCell ref="V1:Z1"/>
    <mergeCell ref="G4:H4"/>
    <mergeCell ref="I4:I7"/>
    <mergeCell ref="J4:J7"/>
    <mergeCell ref="C5:H5"/>
    <mergeCell ref="B6:B7"/>
    <mergeCell ref="C6:H7"/>
    <mergeCell ref="AJ1:AN1"/>
    <mergeCell ref="AR1:AV1"/>
    <mergeCell ref="AY1:BC1"/>
    <mergeCell ref="B2:J2"/>
    <mergeCell ref="AJ2:AN2"/>
    <mergeCell ref="AC1:AH1"/>
    <mergeCell ref="A59:A60"/>
    <mergeCell ref="B59:J59"/>
    <mergeCell ref="C8:J8"/>
    <mergeCell ref="C9:J9"/>
    <mergeCell ref="C10:J10"/>
    <mergeCell ref="B11:J11"/>
    <mergeCell ref="B24:J24"/>
    <mergeCell ref="B30:J30"/>
    <mergeCell ref="A3:A34"/>
    <mergeCell ref="C3:E3"/>
    <mergeCell ref="G3:H3"/>
    <mergeCell ref="B31:J31"/>
    <mergeCell ref="B32:J32"/>
    <mergeCell ref="B33:J33"/>
    <mergeCell ref="B34:J34"/>
    <mergeCell ref="A35:A58"/>
  </mergeCells>
  <conditionalFormatting sqref="C12:J12">
    <cfRule type="expression" dxfId="7" priority="2">
      <formula>$K$12&lt;&gt;"OK"</formula>
    </cfRule>
  </conditionalFormatting>
  <conditionalFormatting sqref="J4:J7">
    <cfRule type="expression" dxfId="6" priority="1">
      <formula>$K$4&lt;&gt;"OK"</formula>
    </cfRule>
  </conditionalFormatting>
  <dataValidations count="21">
    <dataValidation type="list" allowBlank="1" showInputMessage="1" showErrorMessage="1" sqref="C4:E4">
      <formula1>CLIENTES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8:J8">
      <formula1>PUBLISHER</formula1>
    </dataValidation>
    <dataValidation type="list" allowBlank="1" sqref="C20:J20">
      <formula1>MOEDA</formula1>
    </dataValidation>
    <dataValidation type="list" allowBlank="1" sqref="C15:J15">
      <formula1>VENDAS</formula1>
    </dataValidation>
    <dataValidation allowBlank="1" showInputMessage="1" sqref="B24:J24"/>
    <dataValidation type="list" allowBlank="1" showInputMessage="1" showErrorMessage="1" sqref="B31:J31">
      <formula1>ACABAMENTO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13:J13">
      <formula1>LINHA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E3">
      <formula1>0</formula1>
    </dataValidation>
    <dataValidation type="list" allowBlank="1" sqref="HS20:HZ20">
      <formula1>$P$3:$P$6</formula1>
    </dataValidation>
    <dataValidation type="list" allowBlank="1" sqref="HS15:HZ15">
      <formula1>$S$3:$S$4</formula1>
    </dataValidation>
    <dataValidation type="list" allowBlank="1" sqref="HW5:HX5">
      <formula1>$L$3:$L$15</formula1>
    </dataValidation>
    <dataValidation type="list" allowBlank="1" errorTitle="Validação" error="Favor preencher conforme a lista!" sqref="HS8:HZ9">
      <formula1>#REF!</formula1>
    </dataValidation>
    <dataValidation type="list" allowBlank="1" sqref="HZ3 HS25:HZ29 HR31:HZ31 HS17:HZ17">
      <formula1>#REF!</formula1>
    </dataValidation>
    <dataValidation type="list" errorStyle="warning" errorTitle="Validação" error="Favor preencher conforme a lista!" sqref="HS4:HU4">
      <formula1>#REF!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S14"/>
  <sheetViews>
    <sheetView zoomScale="70" zoomScaleNormal="70" workbookViewId="0">
      <pane ySplit="3" topLeftCell="A4" activePane="bottomLeft" state="frozen"/>
      <selection activeCell="A4" sqref="A4"/>
      <selection pane="bottomLeft" activeCell="H4" sqref="H4:H8"/>
    </sheetView>
  </sheetViews>
  <sheetFormatPr defaultRowHeight="15"/>
  <cols>
    <col min="1" max="1" width="2.140625" customWidth="1"/>
    <col min="2" max="4" width="19" customWidth="1"/>
    <col min="5" max="5" width="23.5703125" bestFit="1" customWidth="1"/>
    <col min="6" max="6" width="19" customWidth="1"/>
    <col min="7" max="7" width="4.7109375" customWidth="1"/>
    <col min="8" max="8" width="33.5703125" customWidth="1"/>
    <col min="9" max="9" width="15" bestFit="1" customWidth="1"/>
    <col min="10" max="10" width="34.7109375" bestFit="1" customWidth="1"/>
    <col min="11" max="11" width="16.140625" bestFit="1" customWidth="1"/>
    <col min="12" max="12" width="21" bestFit="1" customWidth="1"/>
    <col min="16" max="16" width="14.85546875" bestFit="1" customWidth="1"/>
    <col min="18" max="18" width="9.5703125" bestFit="1" customWidth="1"/>
    <col min="19" max="19" width="13.28515625" bestFit="1" customWidth="1"/>
  </cols>
  <sheetData>
    <row r="1" spans="2:19">
      <c r="H1" s="459" t="s">
        <v>1239</v>
      </c>
      <c r="I1" s="459"/>
      <c r="J1" s="459"/>
      <c r="K1" s="157"/>
      <c r="L1" s="157"/>
    </row>
    <row r="2" spans="2:19" ht="21">
      <c r="B2" s="397" t="s">
        <v>1237</v>
      </c>
      <c r="C2" s="397"/>
      <c r="D2" s="397"/>
      <c r="E2" s="397"/>
      <c r="F2" s="397"/>
      <c r="H2" s="459" t="s">
        <v>1240</v>
      </c>
      <c r="I2" s="459"/>
      <c r="J2" s="459"/>
      <c r="K2" s="157"/>
      <c r="L2" s="157"/>
      <c r="N2" s="460" t="s">
        <v>1253</v>
      </c>
      <c r="O2" s="461"/>
      <c r="P2" s="461"/>
      <c r="Q2" s="461"/>
      <c r="R2" s="461"/>
      <c r="S2" s="462"/>
    </row>
    <row r="3" spans="2:19" ht="15.75">
      <c r="B3" s="15" t="s">
        <v>1236</v>
      </c>
      <c r="C3" s="15" t="s">
        <v>1238</v>
      </c>
      <c r="D3" s="15" t="s">
        <v>1260</v>
      </c>
      <c r="E3" s="15" t="s">
        <v>1262</v>
      </c>
      <c r="F3" s="15" t="s">
        <v>1235</v>
      </c>
      <c r="H3" s="122" t="s">
        <v>1241</v>
      </c>
      <c r="I3" s="122" t="s">
        <v>1242</v>
      </c>
      <c r="J3" s="122" t="s">
        <v>1243</v>
      </c>
      <c r="K3" s="158"/>
      <c r="L3" s="158"/>
      <c r="N3" s="41" t="s">
        <v>1256</v>
      </c>
      <c r="O3" s="127" t="s">
        <v>1259</v>
      </c>
      <c r="P3" s="41" t="s">
        <v>1257</v>
      </c>
      <c r="Q3" s="41" t="s">
        <v>1254</v>
      </c>
      <c r="R3" s="41" t="s">
        <v>1255</v>
      </c>
      <c r="S3" s="41" t="s">
        <v>1258</v>
      </c>
    </row>
    <row r="4" spans="2:19">
      <c r="B4" s="41" t="s">
        <v>1261</v>
      </c>
      <c r="C4" s="121">
        <v>5600</v>
      </c>
      <c r="D4" s="130">
        <f>(C4-E4)/(1-F4)</f>
        <v>6584.620689655173</v>
      </c>
      <c r="E4" s="131">
        <f>IF(AND(C4&gt;$K$5,C4&lt;=$L$5),$J$5,IF(AND(C4&gt;$K$6,C4&lt;=$L$6),$J$6,IF(AND(C4&gt;$K$7,C4&lt;=$L$7),$J$7,IF(AND(C4&gt;$K$8,C4&lt;=$L$8),$J$8,0))))</f>
        <v>826.15</v>
      </c>
      <c r="F4" s="132">
        <v>0.27500000000000002</v>
      </c>
      <c r="H4" s="123" t="s">
        <v>1244</v>
      </c>
      <c r="I4" s="124" t="s">
        <v>1245</v>
      </c>
      <c r="J4" s="124" t="s">
        <v>1245</v>
      </c>
      <c r="K4" s="157"/>
      <c r="L4" s="157"/>
      <c r="N4" s="41">
        <v>1000</v>
      </c>
      <c r="O4" s="127">
        <v>5786</v>
      </c>
      <c r="P4" s="129">
        <f>(O4+(360*4))/N4</f>
        <v>7.226</v>
      </c>
      <c r="Q4" s="121">
        <v>1.85</v>
      </c>
      <c r="R4" s="128">
        <f>Q4*P4</f>
        <v>13.3681</v>
      </c>
      <c r="S4" s="128">
        <f>R4*N4</f>
        <v>13368.1</v>
      </c>
    </row>
    <row r="5" spans="2:19">
      <c r="B5" s="41" t="s">
        <v>1263</v>
      </c>
      <c r="C5" s="121">
        <v>2000</v>
      </c>
      <c r="D5" s="130">
        <f>(C5-E5)/(1-F5)</f>
        <v>2017.2108108108107</v>
      </c>
      <c r="E5" s="131">
        <f>IF(AND(C5&gt;$K$5,C5&lt;=$L$5),$J$5,IF(AND(C5&gt;$K$6,C5&lt;=$L$6),$J$6,IF(AND(C5&gt;$K$7,C5&lt;=$L$7),$J$7,IF(AND(C5&gt;$K$8,C5&lt;=$L$8),$J$8,0))))</f>
        <v>134.08000000000001</v>
      </c>
      <c r="F5" s="132">
        <v>7.4999999999999997E-2</v>
      </c>
      <c r="H5" s="123" t="s">
        <v>1246</v>
      </c>
      <c r="I5" s="124" t="s">
        <v>1247</v>
      </c>
      <c r="J5" s="125">
        <v>134.08000000000001</v>
      </c>
      <c r="K5" s="159">
        <v>1787.78</v>
      </c>
      <c r="L5" s="159">
        <v>2679.29</v>
      </c>
      <c r="N5" s="41">
        <v>2000</v>
      </c>
      <c r="O5" s="127">
        <v>10307</v>
      </c>
      <c r="P5" s="129">
        <f>(O5+(360*4))/N5</f>
        <v>5.8734999999999999</v>
      </c>
      <c r="Q5" s="121">
        <v>1.85</v>
      </c>
      <c r="R5" s="128">
        <f>Q5*P5</f>
        <v>10.865975000000001</v>
      </c>
      <c r="S5" s="128">
        <f>R5*N5</f>
        <v>21731.95</v>
      </c>
    </row>
    <row r="6" spans="2:19">
      <c r="D6" s="458" t="s">
        <v>1273</v>
      </c>
      <c r="E6" s="458"/>
      <c r="F6" s="458"/>
      <c r="H6" s="123" t="s">
        <v>1248</v>
      </c>
      <c r="I6" s="126">
        <v>15</v>
      </c>
      <c r="J6" s="124">
        <v>335.03</v>
      </c>
      <c r="K6" s="157">
        <v>2679.3</v>
      </c>
      <c r="L6" s="157">
        <v>3572.43</v>
      </c>
      <c r="N6" s="41">
        <v>3000</v>
      </c>
      <c r="O6" s="127">
        <v>13638</v>
      </c>
      <c r="P6" s="129">
        <f>(O6+(360*4))/N6</f>
        <v>5.0259999999999998</v>
      </c>
      <c r="Q6" s="121">
        <v>1.85</v>
      </c>
      <c r="R6" s="128">
        <f>Q6*P6</f>
        <v>9.2980999999999998</v>
      </c>
      <c r="S6" s="128">
        <f>R6*N6</f>
        <v>27894.3</v>
      </c>
    </row>
    <row r="7" spans="2:19">
      <c r="H7" s="123" t="s">
        <v>1249</v>
      </c>
      <c r="I7" s="124" t="s">
        <v>1250</v>
      </c>
      <c r="J7" s="124">
        <v>602.96</v>
      </c>
      <c r="K7" s="157">
        <v>3572.44</v>
      </c>
      <c r="L7" s="157">
        <v>4463.8100000000004</v>
      </c>
      <c r="N7" s="41">
        <v>5000</v>
      </c>
      <c r="O7" s="127">
        <v>20382</v>
      </c>
      <c r="P7" s="129">
        <f>(O7+(360*4))/N7</f>
        <v>4.3643999999999998</v>
      </c>
      <c r="Q7" s="121">
        <v>1.85</v>
      </c>
      <c r="R7" s="128">
        <f>Q7*P7</f>
        <v>8.0741399999999999</v>
      </c>
      <c r="S7" s="128">
        <f>R7*N7</f>
        <v>40370.699999999997</v>
      </c>
    </row>
    <row r="8" spans="2:19">
      <c r="D8" s="161">
        <f>D4-C4</f>
        <v>984.62068965517301</v>
      </c>
      <c r="H8" s="123" t="s">
        <v>1251</v>
      </c>
      <c r="I8" s="124" t="s">
        <v>1252</v>
      </c>
      <c r="J8" s="124">
        <v>826.15</v>
      </c>
      <c r="K8" s="157">
        <v>4463.82</v>
      </c>
      <c r="L8" s="157">
        <v>1000000</v>
      </c>
      <c r="P8" s="133" t="s">
        <v>1273</v>
      </c>
      <c r="R8" s="458" t="s">
        <v>1273</v>
      </c>
      <c r="S8" s="458"/>
    </row>
    <row r="10" spans="2:19">
      <c r="D10" s="161">
        <f>(C4-E4)</f>
        <v>4773.8500000000004</v>
      </c>
      <c r="E10" s="161">
        <f>D10/(1-F4)</f>
        <v>6584.620689655173</v>
      </c>
    </row>
    <row r="12" spans="2:19">
      <c r="C12" s="163"/>
      <c r="D12" s="163">
        <f>(1-F4)</f>
        <v>0.72499999999999998</v>
      </c>
    </row>
    <row r="13" spans="2:19">
      <c r="E13" s="162"/>
    </row>
    <row r="14" spans="2:19">
      <c r="D14" s="161">
        <f>D10/D12</f>
        <v>6584.620689655173</v>
      </c>
    </row>
  </sheetData>
  <mergeCells count="6">
    <mergeCell ref="D6:F6"/>
    <mergeCell ref="R8:S8"/>
    <mergeCell ref="H1:J1"/>
    <mergeCell ref="B2:F2"/>
    <mergeCell ref="H2:J2"/>
    <mergeCell ref="N2:S2"/>
  </mergeCells>
  <pageMargins left="0.51181102362204722" right="0.51181102362204722" top="0.78740157480314965" bottom="0.78740157480314965" header="0.31496062992125984" footer="0.31496062992125984"/>
  <pageSetup paperSize="9" scale="4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9">
    <tabColor indexed="13"/>
    <pageSetUpPr fitToPage="1"/>
  </sheetPr>
  <dimension ref="A1:IM1048526"/>
  <sheetViews>
    <sheetView showGridLines="0" zoomScale="40" zoomScaleNormal="40" zoomScaleSheetLayoutView="25" workbookViewId="0">
      <selection activeCell="L3" sqref="L3:N21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5.140625" style="207" bestFit="1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25.85546875" bestFit="1" customWidth="1"/>
    <col min="30" max="30" width="19" customWidth="1"/>
    <col min="31" max="31" width="23.5703125" customWidth="1"/>
    <col min="32" max="32" width="23.7109375" customWidth="1"/>
    <col min="33" max="33" width="29" customWidth="1"/>
    <col min="34" max="34" width="10" customWidth="1"/>
    <col min="35" max="36" width="4.7109375" customWidth="1"/>
    <col min="37" max="37" width="31" bestFit="1" customWidth="1"/>
    <col min="38" max="38" width="18.5703125" bestFit="1" customWidth="1"/>
    <col min="39" max="39" width="41.140625" bestFit="1" customWidth="1"/>
    <col min="40" max="40" width="16" bestFit="1" customWidth="1"/>
    <col min="41" max="41" width="20.140625" bestFit="1" customWidth="1"/>
    <col min="42" max="44" width="9.140625" style="3" customWidth="1"/>
    <col min="45" max="48" width="29.140625" customWidth="1"/>
    <col min="49" max="49" width="28" style="3" bestFit="1" customWidth="1"/>
    <col min="50" max="51" width="9.140625" style="3" customWidth="1"/>
    <col min="52" max="52" width="4.28515625" style="181" bestFit="1" customWidth="1"/>
    <col min="53" max="53" width="39.42578125" style="3" bestFit="1" customWidth="1"/>
    <col min="54" max="54" width="6.140625" style="3" bestFit="1" customWidth="1"/>
    <col min="55" max="55" width="7.7109375" style="3" bestFit="1" customWidth="1"/>
    <col min="56" max="56" width="20.85546875" style="3" bestFit="1" customWidth="1"/>
    <col min="57" max="58" width="12.28515625" style="3" bestFit="1" customWidth="1"/>
    <col min="59" max="59" width="10" style="3" bestFit="1" customWidth="1"/>
    <col min="60" max="60" width="9.42578125" style="3" bestFit="1" customWidth="1"/>
    <col min="61" max="225" width="9.140625" style="3" customWidth="1"/>
    <col min="226" max="226" width="28.7109375" style="3" customWidth="1"/>
    <col min="227" max="227" width="39.140625" style="3" customWidth="1"/>
    <col min="228" max="230" width="19.7109375" style="3" customWidth="1"/>
    <col min="231" max="231" width="21.5703125" style="3" customWidth="1"/>
    <col min="232" max="234" width="19.7109375" style="3" customWidth="1"/>
    <col min="235" max="235" width="37.85546875" style="3" customWidth="1"/>
    <col min="236" max="236" width="26.85546875" style="3" customWidth="1"/>
    <col min="237" max="237" width="36.7109375" style="3" customWidth="1"/>
    <col min="238" max="238" width="3" style="3" customWidth="1"/>
    <col min="239" max="239" width="30" style="3" customWidth="1"/>
    <col min="240" max="240" width="25.5703125" style="3" customWidth="1"/>
    <col min="241" max="241" width="19.140625" style="3" customWidth="1"/>
    <col min="242" max="242" width="7.28515625" style="3" customWidth="1"/>
    <col min="243" max="243" width="10.85546875" style="3" customWidth="1"/>
    <col min="244" max="244" width="13.5703125" style="3" customWidth="1"/>
    <col min="245" max="245" width="22.85546875" style="3" customWidth="1"/>
    <col min="246" max="246" width="34.7109375" style="3" customWidth="1"/>
    <col min="247" max="247" width="19.7109375" style="3" customWidth="1"/>
    <col min="248" max="16384" width="9.140625" style="3"/>
  </cols>
  <sheetData>
    <row r="1" spans="1:56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207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97" t="s">
        <v>1237</v>
      </c>
      <c r="AD1" s="397"/>
      <c r="AE1" s="397"/>
      <c r="AF1" s="397"/>
      <c r="AG1" s="397"/>
      <c r="AH1" s="397"/>
      <c r="AI1"/>
      <c r="AJ1"/>
      <c r="AK1" s="397" t="s">
        <v>1239</v>
      </c>
      <c r="AL1" s="397"/>
      <c r="AM1" s="397"/>
      <c r="AN1" s="397"/>
      <c r="AO1" s="397"/>
      <c r="AS1" s="397" t="s">
        <v>1234</v>
      </c>
      <c r="AT1" s="397"/>
      <c r="AU1" s="397"/>
      <c r="AV1" s="397"/>
      <c r="AW1" s="397"/>
      <c r="AZ1" s="397" t="s">
        <v>626</v>
      </c>
      <c r="BA1" s="397"/>
      <c r="BB1" s="397"/>
      <c r="BC1" s="397"/>
      <c r="BD1" s="397"/>
    </row>
    <row r="2" spans="1:56" s="2" customFormat="1" ht="30.75" customHeight="1" thickBot="1">
      <c r="A2" s="29"/>
      <c r="B2" s="388" t="s">
        <v>578</v>
      </c>
      <c r="C2" s="389"/>
      <c r="D2" s="389"/>
      <c r="E2" s="389"/>
      <c r="F2" s="389"/>
      <c r="G2" s="389"/>
      <c r="H2" s="389"/>
      <c r="I2" s="389"/>
      <c r="J2" s="390"/>
      <c r="K2" s="46"/>
      <c r="L2" s="15" t="s">
        <v>598</v>
      </c>
      <c r="M2" s="15" t="s">
        <v>627</v>
      </c>
      <c r="N2" s="15" t="s">
        <v>628</v>
      </c>
      <c r="O2" s="208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1283</v>
      </c>
      <c r="AD2" s="15" t="s">
        <v>1282</v>
      </c>
      <c r="AE2" s="15" t="s">
        <v>1238</v>
      </c>
      <c r="AF2" s="15" t="s">
        <v>1260</v>
      </c>
      <c r="AG2" s="15" t="s">
        <v>1262</v>
      </c>
      <c r="AH2" s="15" t="s">
        <v>1235</v>
      </c>
      <c r="AI2"/>
      <c r="AJ2"/>
      <c r="AK2" s="417" t="s">
        <v>1240</v>
      </c>
      <c r="AL2" s="418"/>
      <c r="AM2" s="418"/>
      <c r="AN2" s="418"/>
      <c r="AO2" s="419"/>
      <c r="AS2" s="15" t="s">
        <v>1232</v>
      </c>
      <c r="AT2" s="15" t="s">
        <v>1231</v>
      </c>
      <c r="AU2" s="15" t="s">
        <v>590</v>
      </c>
      <c r="AV2" s="15" t="s">
        <v>1233</v>
      </c>
      <c r="AW2" s="15" t="s">
        <v>590</v>
      </c>
      <c r="AZ2" s="178" t="s">
        <v>1275</v>
      </c>
      <c r="BA2" s="15" t="s">
        <v>598</v>
      </c>
      <c r="BB2" s="15" t="s">
        <v>627</v>
      </c>
      <c r="BC2" s="15" t="s">
        <v>628</v>
      </c>
      <c r="BD2" s="15" t="s">
        <v>590</v>
      </c>
    </row>
    <row r="3" spans="1:56" s="5" customFormat="1" ht="56.25" customHeight="1">
      <c r="A3" s="213"/>
      <c r="B3" s="243" t="s">
        <v>592</v>
      </c>
      <c r="C3" s="468"/>
      <c r="D3" s="469"/>
      <c r="E3" s="470"/>
      <c r="F3" s="246" t="s">
        <v>1274</v>
      </c>
      <c r="G3" s="433"/>
      <c r="H3" s="434"/>
      <c r="I3" s="247" t="s">
        <v>577</v>
      </c>
      <c r="J3" s="227"/>
      <c r="K3" s="45"/>
      <c r="L3" s="70" t="s">
        <v>1200</v>
      </c>
      <c r="M3" s="48" t="s">
        <v>1198</v>
      </c>
      <c r="N3" s="48" t="s">
        <v>1199</v>
      </c>
      <c r="O3" s="207"/>
      <c r="P3" s="32" t="s">
        <v>1291</v>
      </c>
      <c r="Q3" s="66" t="s">
        <v>1296</v>
      </c>
      <c r="S3" s="32" t="s">
        <v>1307</v>
      </c>
      <c r="T3" s="55" t="s">
        <v>1308</v>
      </c>
      <c r="V3" s="57"/>
      <c r="W3" s="394"/>
      <c r="X3" s="395"/>
      <c r="Y3" s="395"/>
      <c r="Z3" s="396"/>
      <c r="AB3" s="170">
        <v>1</v>
      </c>
      <c r="AC3" s="168" t="s">
        <v>1284</v>
      </c>
      <c r="AD3" s="168" t="s">
        <v>1327</v>
      </c>
      <c r="AE3" s="212">
        <v>3000</v>
      </c>
      <c r="AF3" s="165">
        <f t="shared" ref="AF3:AF27" si="0">(AE3-AG3)/(1-AH3)</f>
        <v>3135.258823529412</v>
      </c>
      <c r="AG3" s="166">
        <f>IF(AND(AE3&gt;$AN$4,AE3&lt;=$AO$4),$AM$4,IF(AND(AE3&gt;$AN$5,AE3&lt;=$AO$5),$AM$5,IF(AND(AE3&gt;$AN$6,AE3&lt;=$AO$6),$AM$6,IF(AND(AE3&gt;$AN$7,AE3&lt;=$AO$7),$AM$8,IF(AND(AE3&gt;$AN$8,AE3&lt;=$AO$8),$AM$8,0)))))</f>
        <v>335.03</v>
      </c>
      <c r="AH3" s="167">
        <f>IF(AND(AE3&gt;$AN$4,AE3&lt;=$AO$4),$AL$4,IF(AND(AE3&gt;$AN$5,AE3&lt;=$AO$5),$AL$5,IF(AND(AE3&gt;$AN$6,AE3&lt;=$AO$6),$AL$6,IF(AND(AE3&gt;$AN$7,AE3&lt;=$AO$7),$AL$8,IF(AND(AE3&gt;$AN$8,AE3&lt;=$AO$8),$AL$8,0)))))</f>
        <v>0.15</v>
      </c>
      <c r="AI3"/>
      <c r="AJ3"/>
      <c r="AK3" s="164" t="s">
        <v>1319</v>
      </c>
      <c r="AL3" s="164" t="s">
        <v>1242</v>
      </c>
      <c r="AM3" s="164" t="s">
        <v>1243</v>
      </c>
      <c r="AN3" s="164" t="s">
        <v>1320</v>
      </c>
      <c r="AO3" s="164" t="s">
        <v>1321</v>
      </c>
      <c r="AS3" s="106">
        <v>4</v>
      </c>
      <c r="AT3" s="136">
        <v>460</v>
      </c>
      <c r="AU3" s="41" t="s">
        <v>1162</v>
      </c>
      <c r="AV3" s="118" t="s">
        <v>1229</v>
      </c>
      <c r="AW3" s="41" t="s">
        <v>1162</v>
      </c>
      <c r="AZ3" s="168">
        <v>11</v>
      </c>
      <c r="BA3" s="107" t="s">
        <v>1217</v>
      </c>
      <c r="BB3" s="114" t="s">
        <v>1208</v>
      </c>
      <c r="BC3" s="114" t="s">
        <v>1209</v>
      </c>
      <c r="BD3" s="120" t="s">
        <v>1230</v>
      </c>
    </row>
    <row r="4" spans="1:56" s="5" customFormat="1" ht="42" customHeight="1">
      <c r="A4" s="214"/>
      <c r="B4" s="245" t="s">
        <v>579</v>
      </c>
      <c r="C4" s="445"/>
      <c r="D4" s="446"/>
      <c r="E4" s="447"/>
      <c r="F4" s="246" t="s">
        <v>1195</v>
      </c>
      <c r="G4" s="433"/>
      <c r="H4" s="434"/>
      <c r="I4" s="463" t="s">
        <v>1133</v>
      </c>
      <c r="J4" s="448">
        <v>0</v>
      </c>
      <c r="K4" s="45" t="e">
        <f>IF(VALUE(J4)-SUMIF(C12:J12,"X",#REF!)&gt;0,"OK","N.OK")</f>
        <v>#REF!</v>
      </c>
      <c r="L4" s="70" t="s">
        <v>1201</v>
      </c>
      <c r="M4" s="48" t="s">
        <v>1198</v>
      </c>
      <c r="N4" s="49" t="s">
        <v>1199</v>
      </c>
      <c r="O4" s="207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68"/>
      <c r="AD4" s="168"/>
      <c r="AE4" s="212"/>
      <c r="AF4" s="165">
        <f t="shared" si="0"/>
        <v>0</v>
      </c>
      <c r="AG4" s="166">
        <f t="shared" ref="AG4:AG27" si="1">IF(AND(AE4&gt;$AN$4,AE4&lt;=$AO$4),$AM$4,IF(AND(AE4&gt;$AN$5,AE4&lt;=$AO$5),$AM$5,IF(AND(AE4&gt;$AN$6,AE4&lt;=$AO$6),$AM$6,IF(AND(AE4&gt;$AN$7,AE4&lt;=$AO$7),$AM$8,IF(AND(AE4&gt;$AN$8,AE4&lt;=$AO$8),$AM$8,0)))))</f>
        <v>0</v>
      </c>
      <c r="AH4" s="174">
        <f t="shared" ref="AH4:AH27" si="2">IF(AND(AE4&gt;$AN$4,AE4&lt;=$AO$4),$AL$4,IF(AND(AE4&gt;$AN$5,AE4&lt;=$AO$5),$AL$5,IF(AND(AE4&gt;$AN$6,AE4&lt;=$AO$6),$AL$6,IF(AND(AE4&gt;$AN$7,AE4&lt;=$AO$7),$AL$8,IF(AND(AE4&gt;$AN$8,AE4&lt;=$AO$8),$AL$8,0)))))</f>
        <v>0</v>
      </c>
      <c r="AI4"/>
      <c r="AJ4"/>
      <c r="AK4" s="123" t="s">
        <v>1244</v>
      </c>
      <c r="AL4" s="175">
        <v>0</v>
      </c>
      <c r="AM4" s="224">
        <v>0</v>
      </c>
      <c r="AN4" s="125">
        <v>1</v>
      </c>
      <c r="AO4" s="125">
        <v>1787.77</v>
      </c>
      <c r="AS4" s="106">
        <v>8</v>
      </c>
      <c r="AT4" s="136">
        <v>860</v>
      </c>
      <c r="AU4" s="107" t="s">
        <v>1162</v>
      </c>
      <c r="AV4" s="118" t="s">
        <v>1229</v>
      </c>
      <c r="AW4" s="107" t="s">
        <v>1162</v>
      </c>
      <c r="AZ4" s="168">
        <v>12</v>
      </c>
      <c r="BA4" s="107" t="s">
        <v>1218</v>
      </c>
      <c r="BB4" s="111" t="s">
        <v>1203</v>
      </c>
      <c r="BC4" s="112" t="s">
        <v>1204</v>
      </c>
      <c r="BD4" s="119" t="s">
        <v>1229</v>
      </c>
    </row>
    <row r="5" spans="1:56" s="5" customFormat="1" ht="33.75" customHeight="1">
      <c r="A5" s="214"/>
      <c r="B5" s="242" t="s">
        <v>593</v>
      </c>
      <c r="C5" s="449"/>
      <c r="D5" s="450"/>
      <c r="E5" s="450"/>
      <c r="F5" s="450"/>
      <c r="G5" s="450"/>
      <c r="H5" s="451"/>
      <c r="I5" s="464"/>
      <c r="J5" s="448"/>
      <c r="K5" s="45"/>
      <c r="L5" s="70" t="s">
        <v>1202</v>
      </c>
      <c r="M5" s="49" t="s">
        <v>1203</v>
      </c>
      <c r="N5" s="49" t="s">
        <v>1204</v>
      </c>
      <c r="O5" s="207"/>
      <c r="P5" s="32" t="s">
        <v>1299</v>
      </c>
      <c r="Q5" s="66" t="s">
        <v>1300</v>
      </c>
      <c r="T5" s="56"/>
      <c r="AB5" s="170">
        <v>3</v>
      </c>
      <c r="AC5" s="168"/>
      <c r="AD5" s="168"/>
      <c r="AE5" s="212"/>
      <c r="AF5" s="165">
        <f t="shared" si="0"/>
        <v>0</v>
      </c>
      <c r="AG5" s="166">
        <f t="shared" si="1"/>
        <v>0</v>
      </c>
      <c r="AH5" s="174">
        <f t="shared" si="2"/>
        <v>0</v>
      </c>
      <c r="AI5"/>
      <c r="AJ5"/>
      <c r="AK5" s="123" t="s">
        <v>1246</v>
      </c>
      <c r="AL5" s="175">
        <v>7.4999999999999997E-2</v>
      </c>
      <c r="AM5" s="125">
        <v>134.08000000000001</v>
      </c>
      <c r="AN5" s="125">
        <v>1787.78</v>
      </c>
      <c r="AO5" s="125">
        <v>2679.29</v>
      </c>
      <c r="AS5" s="106">
        <v>12</v>
      </c>
      <c r="AT5" s="136">
        <v>1260</v>
      </c>
      <c r="AU5" s="107" t="s">
        <v>1162</v>
      </c>
      <c r="AV5" s="118" t="s">
        <v>1229</v>
      </c>
      <c r="AW5" s="107" t="s">
        <v>1162</v>
      </c>
      <c r="AZ5" s="168">
        <v>18</v>
      </c>
      <c r="BA5" s="107" t="s">
        <v>1226</v>
      </c>
      <c r="BB5" s="116" t="s">
        <v>1212</v>
      </c>
      <c r="BC5" s="116" t="s">
        <v>1213</v>
      </c>
      <c r="BD5" s="119" t="s">
        <v>1229</v>
      </c>
    </row>
    <row r="6" spans="1:56" s="5" customFormat="1" ht="25.5" customHeight="1">
      <c r="A6" s="214"/>
      <c r="B6" s="466" t="s">
        <v>594</v>
      </c>
      <c r="C6" s="452"/>
      <c r="D6" s="453"/>
      <c r="E6" s="453"/>
      <c r="F6" s="453"/>
      <c r="G6" s="453"/>
      <c r="H6" s="454"/>
      <c r="I6" s="464"/>
      <c r="J6" s="448"/>
      <c r="K6" s="45"/>
      <c r="L6" s="70" t="s">
        <v>1205</v>
      </c>
      <c r="M6" s="50" t="s">
        <v>1203</v>
      </c>
      <c r="N6" s="50" t="s">
        <v>1204</v>
      </c>
      <c r="O6" s="207"/>
      <c r="P6" s="32" t="s">
        <v>1301</v>
      </c>
      <c r="Q6" s="66" t="s">
        <v>1302</v>
      </c>
      <c r="T6" s="56"/>
      <c r="AB6" s="171">
        <v>4</v>
      </c>
      <c r="AC6" s="168"/>
      <c r="AD6" s="168"/>
      <c r="AE6" s="169"/>
      <c r="AF6" s="165">
        <f t="shared" si="0"/>
        <v>0</v>
      </c>
      <c r="AG6" s="166">
        <f t="shared" si="1"/>
        <v>0</v>
      </c>
      <c r="AH6" s="174">
        <f t="shared" si="2"/>
        <v>0</v>
      </c>
      <c r="AI6"/>
      <c r="AJ6"/>
      <c r="AK6" s="123" t="s">
        <v>1248</v>
      </c>
      <c r="AL6" s="175">
        <v>0.15</v>
      </c>
      <c r="AM6" s="224">
        <v>335.03</v>
      </c>
      <c r="AN6" s="224">
        <v>2679.3</v>
      </c>
      <c r="AO6" s="224">
        <v>3572.43</v>
      </c>
      <c r="AS6" s="106">
        <v>16</v>
      </c>
      <c r="AT6" s="136">
        <v>1710</v>
      </c>
      <c r="AU6" s="107" t="s">
        <v>1162</v>
      </c>
      <c r="AV6" s="118" t="s">
        <v>1229</v>
      </c>
      <c r="AW6" s="107" t="s">
        <v>1162</v>
      </c>
      <c r="AZ6" s="168">
        <v>19</v>
      </c>
      <c r="BA6" s="107" t="s">
        <v>1227</v>
      </c>
      <c r="BB6" s="116" t="s">
        <v>1225</v>
      </c>
      <c r="BC6" s="116" t="s">
        <v>1212</v>
      </c>
      <c r="BD6" s="119" t="s">
        <v>1229</v>
      </c>
    </row>
    <row r="7" spans="1:56" s="5" customFormat="1" ht="25.5" customHeight="1">
      <c r="A7" s="214"/>
      <c r="B7" s="467"/>
      <c r="C7" s="455"/>
      <c r="D7" s="456"/>
      <c r="E7" s="456"/>
      <c r="F7" s="456"/>
      <c r="G7" s="456"/>
      <c r="H7" s="457"/>
      <c r="I7" s="465"/>
      <c r="J7" s="448"/>
      <c r="K7" s="45"/>
      <c r="L7" s="70" t="s">
        <v>1206</v>
      </c>
      <c r="M7" s="51" t="s">
        <v>1198</v>
      </c>
      <c r="N7" s="49" t="s">
        <v>1199</v>
      </c>
      <c r="O7" s="207"/>
      <c r="P7" s="32" t="s">
        <v>1303</v>
      </c>
      <c r="Q7" s="67" t="s">
        <v>1304</v>
      </c>
      <c r="T7" s="56"/>
      <c r="AB7" s="170">
        <v>5</v>
      </c>
      <c r="AC7" s="168"/>
      <c r="AD7" s="168"/>
      <c r="AE7" s="169"/>
      <c r="AF7" s="165">
        <f t="shared" si="0"/>
        <v>0</v>
      </c>
      <c r="AG7" s="166">
        <f t="shared" si="1"/>
        <v>0</v>
      </c>
      <c r="AH7" s="174">
        <f t="shared" si="2"/>
        <v>0</v>
      </c>
      <c r="AI7"/>
      <c r="AJ7"/>
      <c r="AK7" s="123" t="s">
        <v>1249</v>
      </c>
      <c r="AL7" s="175">
        <v>0.22500000000000001</v>
      </c>
      <c r="AM7" s="224">
        <v>602.96</v>
      </c>
      <c r="AN7" s="224">
        <v>3572.44</v>
      </c>
      <c r="AO7" s="224">
        <v>4463.8100000000004</v>
      </c>
      <c r="AS7" s="106">
        <v>20</v>
      </c>
      <c r="AT7" s="136">
        <v>2110</v>
      </c>
      <c r="AU7" s="107" t="s">
        <v>1162</v>
      </c>
      <c r="AV7" s="118" t="s">
        <v>1229</v>
      </c>
      <c r="AW7" s="107" t="s">
        <v>1162</v>
      </c>
      <c r="AZ7" s="168">
        <v>1</v>
      </c>
      <c r="BA7" s="107" t="s">
        <v>1197</v>
      </c>
      <c r="BB7" s="111" t="s">
        <v>1198</v>
      </c>
      <c r="BC7" s="111" t="s">
        <v>1199</v>
      </c>
      <c r="BD7" s="119" t="s">
        <v>1229</v>
      </c>
    </row>
    <row r="8" spans="1:56" s="5" customFormat="1" ht="25.5" customHeight="1">
      <c r="A8" s="214"/>
      <c r="B8" s="6" t="s">
        <v>595</v>
      </c>
      <c r="C8" s="425"/>
      <c r="D8" s="425"/>
      <c r="E8" s="425"/>
      <c r="F8" s="425"/>
      <c r="G8" s="425"/>
      <c r="H8" s="425"/>
      <c r="I8" s="425"/>
      <c r="J8" s="426"/>
      <c r="K8" s="45"/>
      <c r="L8" s="70" t="s">
        <v>1207</v>
      </c>
      <c r="M8" s="52" t="s">
        <v>1208</v>
      </c>
      <c r="N8" s="49" t="s">
        <v>1209</v>
      </c>
      <c r="O8" s="207"/>
      <c r="P8" s="32" t="s">
        <v>1305</v>
      </c>
      <c r="Q8" s="67" t="s">
        <v>1306</v>
      </c>
      <c r="T8" s="56"/>
      <c r="AB8" s="171">
        <v>6</v>
      </c>
      <c r="AC8" s="168"/>
      <c r="AD8" s="168"/>
      <c r="AE8" s="169"/>
      <c r="AF8" s="165">
        <f t="shared" si="0"/>
        <v>0</v>
      </c>
      <c r="AG8" s="166">
        <f t="shared" si="1"/>
        <v>0</v>
      </c>
      <c r="AH8" s="174">
        <f t="shared" si="2"/>
        <v>0</v>
      </c>
      <c r="AI8"/>
      <c r="AJ8"/>
      <c r="AK8" s="123" t="s">
        <v>1251</v>
      </c>
      <c r="AL8" s="175">
        <v>0.27500000000000002</v>
      </c>
      <c r="AM8" s="224">
        <v>826.15</v>
      </c>
      <c r="AN8" s="224">
        <v>4463.82</v>
      </c>
      <c r="AO8" s="224">
        <v>1000000</v>
      </c>
      <c r="AS8" s="106">
        <v>24</v>
      </c>
      <c r="AT8" s="136">
        <v>2560</v>
      </c>
      <c r="AU8" s="107" t="s">
        <v>1162</v>
      </c>
      <c r="AV8" s="118" t="s">
        <v>1229</v>
      </c>
      <c r="AW8" s="107" t="s">
        <v>1162</v>
      </c>
      <c r="AZ8" s="168">
        <v>16</v>
      </c>
      <c r="BA8" s="107" t="s">
        <v>1223</v>
      </c>
      <c r="BB8" s="117" t="s">
        <v>1212</v>
      </c>
      <c r="BC8" s="117" t="s">
        <v>1213</v>
      </c>
      <c r="BD8" s="119" t="s">
        <v>1229</v>
      </c>
    </row>
    <row r="9" spans="1:56" s="5" customFormat="1" ht="25.5" customHeight="1">
      <c r="A9" s="214"/>
      <c r="B9" s="6" t="s">
        <v>596</v>
      </c>
      <c r="C9" s="425"/>
      <c r="D9" s="425"/>
      <c r="E9" s="425"/>
      <c r="F9" s="425"/>
      <c r="G9" s="425"/>
      <c r="H9" s="425"/>
      <c r="I9" s="425"/>
      <c r="J9" s="426"/>
      <c r="K9" s="45"/>
      <c r="L9" s="70" t="s">
        <v>1210</v>
      </c>
      <c r="M9" s="52" t="s">
        <v>1204</v>
      </c>
      <c r="N9" s="49" t="s">
        <v>1208</v>
      </c>
      <c r="O9" s="208"/>
      <c r="P9" s="14"/>
      <c r="Q9" s="54"/>
      <c r="T9" s="56"/>
      <c r="AB9" s="170">
        <v>7</v>
      </c>
      <c r="AC9" s="168"/>
      <c r="AD9" s="168"/>
      <c r="AE9" s="169"/>
      <c r="AF9" s="165">
        <f t="shared" si="0"/>
        <v>0</v>
      </c>
      <c r="AG9" s="166">
        <f t="shared" si="1"/>
        <v>0</v>
      </c>
      <c r="AH9" s="174">
        <f t="shared" si="2"/>
        <v>0</v>
      </c>
      <c r="AI9"/>
      <c r="AJ9"/>
      <c r="AK9"/>
      <c r="AL9"/>
      <c r="AM9"/>
      <c r="AN9"/>
      <c r="AO9"/>
      <c r="AS9" s="106">
        <v>28</v>
      </c>
      <c r="AT9" s="136">
        <v>2961</v>
      </c>
      <c r="AU9" s="107" t="s">
        <v>1162</v>
      </c>
      <c r="AV9" s="118" t="s">
        <v>1229</v>
      </c>
      <c r="AW9" s="107" t="s">
        <v>1162</v>
      </c>
      <c r="AZ9" s="168">
        <v>17</v>
      </c>
      <c r="BA9" s="107" t="s">
        <v>1224</v>
      </c>
      <c r="BB9" s="116" t="s">
        <v>1225</v>
      </c>
      <c r="BC9" s="116" t="s">
        <v>1212</v>
      </c>
      <c r="BD9" s="119" t="s">
        <v>1229</v>
      </c>
    </row>
    <row r="10" spans="1:56" s="5" customFormat="1" ht="25.5" customHeight="1">
      <c r="A10" s="214"/>
      <c r="B10" s="242" t="s">
        <v>1130</v>
      </c>
      <c r="C10" s="427"/>
      <c r="D10" s="428"/>
      <c r="E10" s="428"/>
      <c r="F10" s="428"/>
      <c r="G10" s="428"/>
      <c r="H10" s="428"/>
      <c r="I10" s="428"/>
      <c r="J10" s="429"/>
      <c r="K10" s="45"/>
      <c r="L10" s="70" t="s">
        <v>1211</v>
      </c>
      <c r="M10" s="52" t="s">
        <v>1212</v>
      </c>
      <c r="N10" s="49" t="s">
        <v>1213</v>
      </c>
      <c r="O10" s="208"/>
      <c r="P10" s="14"/>
      <c r="AB10" s="171">
        <v>8</v>
      </c>
      <c r="AC10" s="168"/>
      <c r="AD10" s="168"/>
      <c r="AE10" s="169"/>
      <c r="AF10" s="165">
        <f t="shared" si="0"/>
        <v>0</v>
      </c>
      <c r="AG10" s="166">
        <f t="shared" si="1"/>
        <v>0</v>
      </c>
      <c r="AH10" s="174">
        <f t="shared" si="2"/>
        <v>0</v>
      </c>
      <c r="AI10"/>
      <c r="AJ10"/>
      <c r="AK10"/>
      <c r="AL10"/>
      <c r="AM10" s="32" t="s">
        <v>1124</v>
      </c>
      <c r="AN10" s="168" t="s">
        <v>1284</v>
      </c>
      <c r="AO10" s="169">
        <f>SUMIF(AC$3:AC$27,AN10,AF$3:AF$27)</f>
        <v>3135.258823529412</v>
      </c>
      <c r="AS10" s="106">
        <v>32</v>
      </c>
      <c r="AT10" s="136">
        <v>3370</v>
      </c>
      <c r="AU10" s="107" t="s">
        <v>1162</v>
      </c>
      <c r="AV10" s="118" t="s">
        <v>1229</v>
      </c>
      <c r="AW10" s="107" t="s">
        <v>1162</v>
      </c>
      <c r="AZ10" s="168">
        <v>20</v>
      </c>
      <c r="BA10" s="107" t="s">
        <v>1228</v>
      </c>
      <c r="BB10" s="116" t="s">
        <v>1212</v>
      </c>
      <c r="BC10" s="116" t="s">
        <v>1212</v>
      </c>
      <c r="BD10" s="119" t="s">
        <v>1229</v>
      </c>
    </row>
    <row r="11" spans="1:56" s="5" customFormat="1" ht="25.5" customHeight="1">
      <c r="A11" s="214"/>
      <c r="B11" s="388" t="s">
        <v>597</v>
      </c>
      <c r="C11" s="389"/>
      <c r="D11" s="389"/>
      <c r="E11" s="389"/>
      <c r="F11" s="389"/>
      <c r="G11" s="389"/>
      <c r="H11" s="389"/>
      <c r="I11" s="389"/>
      <c r="J11" s="390"/>
      <c r="K11" s="45"/>
      <c r="L11" s="70" t="s">
        <v>1214</v>
      </c>
      <c r="M11" s="51" t="s">
        <v>1215</v>
      </c>
      <c r="N11" s="51" t="s">
        <v>1216</v>
      </c>
      <c r="O11" s="208"/>
      <c r="P11" s="14"/>
      <c r="AB11" s="170">
        <v>9</v>
      </c>
      <c r="AC11" s="168"/>
      <c r="AD11" s="168"/>
      <c r="AE11" s="169"/>
      <c r="AF11" s="165">
        <f t="shared" si="0"/>
        <v>0</v>
      </c>
      <c r="AG11" s="166">
        <f t="shared" si="1"/>
        <v>0</v>
      </c>
      <c r="AH11" s="174">
        <f t="shared" si="2"/>
        <v>0</v>
      </c>
      <c r="AI11"/>
      <c r="AJ11"/>
      <c r="AK11" s="162"/>
      <c r="AL11"/>
      <c r="AM11" s="32" t="s">
        <v>624</v>
      </c>
      <c r="AN11" s="168" t="s">
        <v>1322</v>
      </c>
      <c r="AO11" s="169">
        <f>SUMIF(AC$3:AC$27,AN11,AF$3:AF$27)</f>
        <v>0</v>
      </c>
      <c r="AS11" s="106">
        <v>36</v>
      </c>
      <c r="AT11" s="136">
        <v>3791</v>
      </c>
      <c r="AU11" s="107" t="s">
        <v>1162</v>
      </c>
      <c r="AV11" s="118" t="s">
        <v>1229</v>
      </c>
      <c r="AW11" s="107" t="s">
        <v>1162</v>
      </c>
      <c r="AZ11" s="168">
        <v>13</v>
      </c>
      <c r="BA11" s="107" t="s">
        <v>1219</v>
      </c>
      <c r="BB11" s="113" t="s">
        <v>1198</v>
      </c>
      <c r="BC11" s="113" t="s">
        <v>1208</v>
      </c>
      <c r="BD11" s="119" t="s">
        <v>1229</v>
      </c>
    </row>
    <row r="12" spans="1:56" s="7" customFormat="1" ht="25.5" customHeight="1">
      <c r="A12" s="214"/>
      <c r="B12" s="242" t="s">
        <v>1169</v>
      </c>
      <c r="C12" s="201"/>
      <c r="D12" s="201"/>
      <c r="E12" s="201"/>
      <c r="F12" s="202"/>
      <c r="G12" s="202"/>
      <c r="H12" s="202"/>
      <c r="I12" s="202"/>
      <c r="J12" s="202"/>
      <c r="K12" s="45" t="str">
        <f>IF(COUNTIF(C12:J12,"X")&gt;0,"OK","N.OK")</f>
        <v>N.OK</v>
      </c>
      <c r="L12" s="70" t="s">
        <v>1217</v>
      </c>
      <c r="M12" s="51" t="s">
        <v>1208</v>
      </c>
      <c r="N12" s="51" t="s">
        <v>1209</v>
      </c>
      <c r="O12" s="208"/>
      <c r="P12" s="14"/>
      <c r="AB12" s="171">
        <v>10</v>
      </c>
      <c r="AC12" s="168"/>
      <c r="AD12" s="168"/>
      <c r="AE12" s="169"/>
      <c r="AF12" s="165">
        <f t="shared" si="0"/>
        <v>0</v>
      </c>
      <c r="AG12" s="166">
        <f t="shared" si="1"/>
        <v>0</v>
      </c>
      <c r="AH12" s="174">
        <f t="shared" si="2"/>
        <v>0</v>
      </c>
      <c r="AI12"/>
      <c r="AJ12"/>
      <c r="AK12" s="162"/>
      <c r="AL12"/>
      <c r="AM12"/>
      <c r="AN12"/>
      <c r="AO12"/>
      <c r="AS12" s="106">
        <v>40</v>
      </c>
      <c r="AT12" s="136">
        <v>4210</v>
      </c>
      <c r="AU12" s="107" t="s">
        <v>1162</v>
      </c>
      <c r="AV12" s="118" t="s">
        <v>1229</v>
      </c>
      <c r="AW12" s="107" t="s">
        <v>1162</v>
      </c>
      <c r="AZ12" s="168">
        <v>15</v>
      </c>
      <c r="BA12" s="107" t="s">
        <v>1222</v>
      </c>
      <c r="BB12" s="113" t="s">
        <v>1212</v>
      </c>
      <c r="BC12" s="113" t="s">
        <v>1213</v>
      </c>
      <c r="BD12" s="41"/>
    </row>
    <row r="13" spans="1:56" s="7" customFormat="1" ht="31.5" customHeight="1">
      <c r="A13" s="214"/>
      <c r="B13" s="68" t="s">
        <v>1132</v>
      </c>
      <c r="C13" s="197" t="s">
        <v>1207</v>
      </c>
      <c r="D13" s="197" t="s">
        <v>1207</v>
      </c>
      <c r="E13" s="198"/>
      <c r="F13" s="197"/>
      <c r="G13" s="197"/>
      <c r="H13" s="197"/>
      <c r="I13" s="197"/>
      <c r="J13" s="197"/>
      <c r="K13" s="45"/>
      <c r="L13" s="70" t="s">
        <v>1325</v>
      </c>
      <c r="M13" s="51" t="s">
        <v>1212</v>
      </c>
      <c r="N13" s="51" t="s">
        <v>1213</v>
      </c>
      <c r="O13" s="208"/>
      <c r="P13" s="14"/>
      <c r="AB13" s="170">
        <v>11</v>
      </c>
      <c r="AC13" s="168"/>
      <c r="AD13" s="168"/>
      <c r="AE13" s="169"/>
      <c r="AF13" s="165">
        <f t="shared" si="0"/>
        <v>0</v>
      </c>
      <c r="AG13" s="166">
        <f t="shared" si="1"/>
        <v>0</v>
      </c>
      <c r="AH13" s="174">
        <f t="shared" si="2"/>
        <v>0</v>
      </c>
      <c r="AI13"/>
      <c r="AJ13"/>
      <c r="AL13"/>
      <c r="AM13"/>
      <c r="AN13"/>
      <c r="AO13"/>
      <c r="AS13" s="106">
        <v>44</v>
      </c>
      <c r="AT13" s="136">
        <v>4631</v>
      </c>
      <c r="AU13" s="107" t="s">
        <v>1162</v>
      </c>
      <c r="AV13" s="118" t="s">
        <v>1229</v>
      </c>
      <c r="AW13" s="107" t="s">
        <v>1162</v>
      </c>
      <c r="AZ13" s="168">
        <v>14</v>
      </c>
      <c r="BA13" s="107" t="s">
        <v>1220</v>
      </c>
      <c r="BB13" s="116" t="s">
        <v>1209</v>
      </c>
      <c r="BC13" s="114" t="s">
        <v>1221</v>
      </c>
      <c r="BD13" s="119" t="s">
        <v>1229</v>
      </c>
    </row>
    <row r="14" spans="1:56" s="7" customFormat="1" ht="25.5" customHeight="1">
      <c r="A14" s="214"/>
      <c r="B14" s="242" t="s">
        <v>1277</v>
      </c>
      <c r="C14" s="199">
        <v>10</v>
      </c>
      <c r="D14" s="199">
        <v>10</v>
      </c>
      <c r="E14" s="191"/>
      <c r="F14" s="199"/>
      <c r="G14" s="199"/>
      <c r="H14" s="199"/>
      <c r="I14" s="199"/>
      <c r="J14" s="199"/>
      <c r="K14" s="45"/>
      <c r="L14" s="70" t="s">
        <v>1218</v>
      </c>
      <c r="M14" s="51" t="s">
        <v>1203</v>
      </c>
      <c r="N14" s="51" t="s">
        <v>1204</v>
      </c>
      <c r="O14" s="208"/>
      <c r="P14" s="14"/>
      <c r="AB14" s="171">
        <v>12</v>
      </c>
      <c r="AC14" s="168"/>
      <c r="AD14" s="168"/>
      <c r="AE14" s="169"/>
      <c r="AF14" s="165">
        <f t="shared" si="0"/>
        <v>0</v>
      </c>
      <c r="AG14" s="166">
        <f t="shared" si="1"/>
        <v>0</v>
      </c>
      <c r="AH14" s="174">
        <f t="shared" si="2"/>
        <v>0</v>
      </c>
      <c r="AI14"/>
      <c r="AJ14"/>
      <c r="AK14"/>
      <c r="AL14"/>
      <c r="AM14"/>
      <c r="AN14"/>
      <c r="AO14"/>
      <c r="AS14" s="106">
        <v>48</v>
      </c>
      <c r="AT14" s="136">
        <v>5052</v>
      </c>
      <c r="AU14" s="107" t="s">
        <v>1162</v>
      </c>
      <c r="AV14" s="118" t="s">
        <v>1229</v>
      </c>
      <c r="AW14" s="107" t="s">
        <v>1162</v>
      </c>
      <c r="AZ14" s="168">
        <v>6</v>
      </c>
      <c r="BA14" s="107" t="s">
        <v>1206</v>
      </c>
      <c r="BB14" s="115" t="s">
        <v>1198</v>
      </c>
      <c r="BC14" s="112" t="s">
        <v>1199</v>
      </c>
      <c r="BD14" s="120" t="s">
        <v>1230</v>
      </c>
    </row>
    <row r="15" spans="1:56" s="5" customFormat="1" ht="25.5" customHeight="1">
      <c r="A15" s="214"/>
      <c r="B15" s="69" t="s">
        <v>599</v>
      </c>
      <c r="C15" s="195" t="s">
        <v>1290</v>
      </c>
      <c r="D15" s="195" t="s">
        <v>1290</v>
      </c>
      <c r="E15" s="196"/>
      <c r="F15" s="196"/>
      <c r="G15" s="195"/>
      <c r="H15" s="195"/>
      <c r="I15" s="195"/>
      <c r="J15" s="195"/>
      <c r="K15" s="45"/>
      <c r="L15" s="70" t="s">
        <v>1219</v>
      </c>
      <c r="M15" s="48" t="s">
        <v>1198</v>
      </c>
      <c r="N15" s="49" t="s">
        <v>1208</v>
      </c>
      <c r="O15" s="208"/>
      <c r="P15" s="14"/>
      <c r="AB15" s="170">
        <v>13</v>
      </c>
      <c r="AC15" s="168"/>
      <c r="AD15" s="168"/>
      <c r="AE15" s="169"/>
      <c r="AF15" s="165">
        <f t="shared" si="0"/>
        <v>0</v>
      </c>
      <c r="AG15" s="166">
        <f t="shared" si="1"/>
        <v>0</v>
      </c>
      <c r="AH15" s="174">
        <f t="shared" si="2"/>
        <v>0</v>
      </c>
      <c r="AI15"/>
      <c r="AJ15"/>
      <c r="AK15"/>
      <c r="AL15"/>
      <c r="AM15"/>
      <c r="AN15"/>
      <c r="AO15"/>
      <c r="AS15" s="106">
        <v>4</v>
      </c>
      <c r="AT15" s="136">
        <v>160</v>
      </c>
      <c r="AU15" s="107" t="s">
        <v>1163</v>
      </c>
      <c r="AV15" s="118" t="s">
        <v>1229</v>
      </c>
      <c r="AW15" s="107" t="s">
        <v>1163</v>
      </c>
      <c r="AZ15" s="168">
        <v>9</v>
      </c>
      <c r="BA15" s="107" t="s">
        <v>1211</v>
      </c>
      <c r="BB15" s="114" t="s">
        <v>1212</v>
      </c>
      <c r="BC15" s="114" t="s">
        <v>1213</v>
      </c>
      <c r="BD15" s="41"/>
    </row>
    <row r="16" spans="1:56" s="5" customFormat="1" ht="25.5" customHeight="1">
      <c r="A16" s="214"/>
      <c r="B16" s="243" t="s">
        <v>588</v>
      </c>
      <c r="C16" s="244">
        <f>IF(C$15&lt;&gt;"",(VLOOKUP(C$15,$S$3:$T$4,2,FALSE))*100%,"")</f>
        <v>9.2499999999999999E-2</v>
      </c>
      <c r="D16" s="244">
        <f>IF(D$15&lt;&gt;"",(VLOOKUP(D$15,$S$3:$T$4,2,FALSE))*100%,"")</f>
        <v>9.2499999999999999E-2</v>
      </c>
      <c r="E16" s="244" t="str">
        <f t="shared" ref="E16:J16" si="3">IF(E$15&lt;&gt;"",(VLOOKUP(E$15,$S$3:$T$4,2,FALSE))*100%,"")</f>
        <v/>
      </c>
      <c r="F16" s="244" t="str">
        <f t="shared" si="3"/>
        <v/>
      </c>
      <c r="G16" s="244" t="str">
        <f t="shared" si="3"/>
        <v/>
      </c>
      <c r="H16" s="244" t="str">
        <f t="shared" si="3"/>
        <v/>
      </c>
      <c r="I16" s="244" t="str">
        <f t="shared" si="3"/>
        <v/>
      </c>
      <c r="J16" s="244" t="str">
        <f t="shared" si="3"/>
        <v/>
      </c>
      <c r="K16" s="45"/>
      <c r="L16" s="70" t="s">
        <v>1220</v>
      </c>
      <c r="M16" s="50" t="s">
        <v>1209</v>
      </c>
      <c r="N16" s="50" t="s">
        <v>1221</v>
      </c>
      <c r="O16" s="208"/>
      <c r="P16" s="14"/>
      <c r="AB16" s="171">
        <v>14</v>
      </c>
      <c r="AC16" s="168"/>
      <c r="AD16" s="168"/>
      <c r="AE16" s="169"/>
      <c r="AF16" s="165">
        <f t="shared" si="0"/>
        <v>0</v>
      </c>
      <c r="AG16" s="166">
        <f t="shared" si="1"/>
        <v>0</v>
      </c>
      <c r="AH16" s="174">
        <f t="shared" si="2"/>
        <v>0</v>
      </c>
      <c r="AI16"/>
      <c r="AJ16"/>
      <c r="AK16"/>
      <c r="AL16"/>
      <c r="AM16"/>
      <c r="AN16"/>
      <c r="AO16"/>
      <c r="AS16" s="106">
        <v>8</v>
      </c>
      <c r="AT16" s="136">
        <v>310</v>
      </c>
      <c r="AU16" s="107" t="s">
        <v>1163</v>
      </c>
      <c r="AV16" s="118" t="s">
        <v>1229</v>
      </c>
      <c r="AW16" s="107" t="s">
        <v>1163</v>
      </c>
      <c r="AZ16" s="168">
        <v>10</v>
      </c>
      <c r="BA16" s="107" t="s">
        <v>1214</v>
      </c>
      <c r="BB16" s="114" t="s">
        <v>1215</v>
      </c>
      <c r="BC16" s="114" t="s">
        <v>1216</v>
      </c>
      <c r="BD16" s="41"/>
    </row>
    <row r="17" spans="1:225" s="5" customFormat="1" ht="25.5" customHeight="1" thickBot="1">
      <c r="A17" s="214"/>
      <c r="B17" s="6" t="s">
        <v>601</v>
      </c>
      <c r="C17" s="192" t="s">
        <v>515</v>
      </c>
      <c r="D17" s="192" t="s">
        <v>514</v>
      </c>
      <c r="E17" s="192"/>
      <c r="F17" s="192"/>
      <c r="G17" s="192"/>
      <c r="H17" s="192"/>
      <c r="I17" s="192"/>
      <c r="J17" s="192"/>
      <c r="K17" s="45"/>
      <c r="L17" s="70" t="s">
        <v>1222</v>
      </c>
      <c r="M17" s="53" t="s">
        <v>1212</v>
      </c>
      <c r="N17" s="51" t="s">
        <v>1213</v>
      </c>
      <c r="O17" s="208"/>
      <c r="P17" s="14"/>
      <c r="AB17" s="170">
        <v>15</v>
      </c>
      <c r="AC17" s="168"/>
      <c r="AD17" s="168"/>
      <c r="AE17" s="169"/>
      <c r="AF17" s="165">
        <f t="shared" si="0"/>
        <v>0</v>
      </c>
      <c r="AG17" s="166">
        <f t="shared" si="1"/>
        <v>0</v>
      </c>
      <c r="AH17" s="174">
        <f t="shared" si="2"/>
        <v>0</v>
      </c>
      <c r="AI17"/>
      <c r="AJ17"/>
      <c r="AK17"/>
      <c r="AL17"/>
      <c r="AM17"/>
      <c r="AN17"/>
      <c r="AO17"/>
      <c r="AS17" s="106">
        <v>12</v>
      </c>
      <c r="AT17" s="136">
        <v>430</v>
      </c>
      <c r="AU17" s="107" t="s">
        <v>1163</v>
      </c>
      <c r="AV17" s="118" t="s">
        <v>1229</v>
      </c>
      <c r="AW17" s="107" t="s">
        <v>1163</v>
      </c>
      <c r="AZ17" s="168">
        <v>8</v>
      </c>
      <c r="BA17" s="107" t="s">
        <v>1210</v>
      </c>
      <c r="BB17" s="115" t="s">
        <v>1204</v>
      </c>
      <c r="BC17" s="112" t="s">
        <v>1208</v>
      </c>
      <c r="BD17" s="41"/>
    </row>
    <row r="18" spans="1:225" s="5" customFormat="1" ht="25.5" customHeight="1" thickBot="1">
      <c r="A18" s="214"/>
      <c r="B18" s="242" t="s">
        <v>603</v>
      </c>
      <c r="C18" s="193">
        <v>10000</v>
      </c>
      <c r="D18" s="193">
        <v>10000</v>
      </c>
      <c r="E18" s="193"/>
      <c r="F18" s="193"/>
      <c r="G18" s="193"/>
      <c r="H18" s="193"/>
      <c r="I18" s="193"/>
      <c r="J18" s="193"/>
      <c r="K18" s="45"/>
      <c r="L18" s="70" t="s">
        <v>1223</v>
      </c>
      <c r="M18" s="50" t="s">
        <v>1212</v>
      </c>
      <c r="N18" s="50" t="s">
        <v>1213</v>
      </c>
      <c r="O18" s="208"/>
      <c r="P18" s="14"/>
      <c r="AB18" s="171">
        <v>16</v>
      </c>
      <c r="AC18" s="168"/>
      <c r="AD18" s="168"/>
      <c r="AE18" s="169"/>
      <c r="AF18" s="165">
        <f t="shared" si="0"/>
        <v>0</v>
      </c>
      <c r="AG18" s="166">
        <f t="shared" si="1"/>
        <v>0</v>
      </c>
      <c r="AH18" s="174">
        <f t="shared" si="2"/>
        <v>0</v>
      </c>
      <c r="AI18"/>
      <c r="AJ18"/>
      <c r="AK18"/>
      <c r="AL18"/>
      <c r="AM18"/>
      <c r="AN18"/>
      <c r="AO18"/>
      <c r="AS18" s="106">
        <v>16</v>
      </c>
      <c r="AT18" s="136">
        <v>570</v>
      </c>
      <c r="AU18" s="107" t="s">
        <v>1163</v>
      </c>
      <c r="AV18" s="118" t="s">
        <v>1229</v>
      </c>
      <c r="AW18" s="107" t="s">
        <v>1163</v>
      </c>
      <c r="AZ18" s="168">
        <v>7</v>
      </c>
      <c r="BA18" s="107" t="s">
        <v>1207</v>
      </c>
      <c r="BB18" s="115" t="s">
        <v>1208</v>
      </c>
      <c r="BC18" s="112" t="s">
        <v>1209</v>
      </c>
      <c r="BD18" s="119" t="s">
        <v>1229</v>
      </c>
    </row>
    <row r="19" spans="1:225" s="27" customFormat="1" ht="30.75" customHeight="1">
      <c r="A19" s="214"/>
      <c r="B19" s="242" t="s">
        <v>604</v>
      </c>
      <c r="C19" s="194" t="s">
        <v>1326</v>
      </c>
      <c r="D19" s="194" t="s">
        <v>1326</v>
      </c>
      <c r="E19" s="194"/>
      <c r="F19" s="194"/>
      <c r="G19" s="194"/>
      <c r="H19" s="194"/>
      <c r="I19" s="194"/>
      <c r="J19" s="194"/>
      <c r="K19" s="47"/>
      <c r="L19" s="71" t="s">
        <v>1224</v>
      </c>
      <c r="M19" s="50" t="s">
        <v>1225</v>
      </c>
      <c r="N19" s="50" t="s">
        <v>1212</v>
      </c>
      <c r="O19" s="209"/>
      <c r="P19" s="28"/>
      <c r="AB19" s="170">
        <v>17</v>
      </c>
      <c r="AC19" s="168"/>
      <c r="AD19" s="168"/>
      <c r="AE19" s="169"/>
      <c r="AF19" s="165">
        <f t="shared" si="0"/>
        <v>0</v>
      </c>
      <c r="AG19" s="166">
        <f t="shared" si="1"/>
        <v>0</v>
      </c>
      <c r="AH19" s="174">
        <f t="shared" si="2"/>
        <v>0</v>
      </c>
      <c r="AI19"/>
      <c r="AJ19"/>
      <c r="AK19"/>
      <c r="AL19"/>
      <c r="AM19"/>
      <c r="AN19"/>
      <c r="AO19"/>
      <c r="AS19" s="106">
        <v>20</v>
      </c>
      <c r="AT19" s="136">
        <v>710</v>
      </c>
      <c r="AU19" s="107" t="s">
        <v>1163</v>
      </c>
      <c r="AV19" s="118" t="s">
        <v>1229</v>
      </c>
      <c r="AW19" s="107" t="s">
        <v>1163</v>
      </c>
      <c r="AZ19" s="168">
        <v>5</v>
      </c>
      <c r="BA19" s="107" t="s">
        <v>1205</v>
      </c>
      <c r="BB19" s="114" t="s">
        <v>1203</v>
      </c>
      <c r="BC19" s="112" t="s">
        <v>1204</v>
      </c>
      <c r="BD19" s="120" t="s">
        <v>1230</v>
      </c>
    </row>
    <row r="20" spans="1:225" s="5" customFormat="1" ht="25.5" customHeight="1">
      <c r="A20" s="214"/>
      <c r="B20" s="6" t="s">
        <v>605</v>
      </c>
      <c r="C20" s="188" t="s">
        <v>1291</v>
      </c>
      <c r="D20" s="188" t="s">
        <v>1291</v>
      </c>
      <c r="E20" s="188"/>
      <c r="F20" s="188"/>
      <c r="G20" s="188"/>
      <c r="H20" s="188"/>
      <c r="I20" s="188"/>
      <c r="J20" s="188"/>
      <c r="K20" s="45"/>
      <c r="L20" s="71" t="s">
        <v>1226</v>
      </c>
      <c r="M20" s="53" t="s">
        <v>1212</v>
      </c>
      <c r="N20" s="53" t="s">
        <v>1213</v>
      </c>
      <c r="O20" s="208"/>
      <c r="P20" s="14"/>
      <c r="AB20" s="171">
        <v>18</v>
      </c>
      <c r="AC20" s="168"/>
      <c r="AD20" s="168"/>
      <c r="AE20" s="169"/>
      <c r="AF20" s="165">
        <f t="shared" si="0"/>
        <v>0</v>
      </c>
      <c r="AG20" s="166">
        <f t="shared" si="1"/>
        <v>0</v>
      </c>
      <c r="AH20" s="174">
        <f t="shared" si="2"/>
        <v>0</v>
      </c>
      <c r="AI20"/>
      <c r="AJ20"/>
      <c r="AK20"/>
      <c r="AL20"/>
      <c r="AM20"/>
      <c r="AN20"/>
      <c r="AO20"/>
      <c r="AS20" s="106">
        <v>24</v>
      </c>
      <c r="AT20" s="136">
        <v>850</v>
      </c>
      <c r="AU20" s="107" t="s">
        <v>1163</v>
      </c>
      <c r="AV20" s="118" t="s">
        <v>1229</v>
      </c>
      <c r="AW20" s="107" t="s">
        <v>1163</v>
      </c>
      <c r="AZ20" s="168">
        <v>2</v>
      </c>
      <c r="BA20" s="107" t="s">
        <v>1200</v>
      </c>
      <c r="BB20" s="111" t="s">
        <v>1198</v>
      </c>
      <c r="BC20" s="112" t="s">
        <v>1199</v>
      </c>
      <c r="BD20" s="119" t="s">
        <v>1229</v>
      </c>
    </row>
    <row r="21" spans="1:225" s="5" customFormat="1" ht="25.5" customHeight="1">
      <c r="A21" s="214"/>
      <c r="B21" s="242" t="s">
        <v>606</v>
      </c>
      <c r="C21" s="189">
        <v>0.25</v>
      </c>
      <c r="D21" s="189">
        <v>0.25</v>
      </c>
      <c r="E21" s="189"/>
      <c r="F21" s="189"/>
      <c r="G21" s="189"/>
      <c r="H21" s="189"/>
      <c r="I21" s="189"/>
      <c r="J21" s="189"/>
      <c r="K21" s="45"/>
      <c r="L21" s="70" t="s">
        <v>1227</v>
      </c>
      <c r="M21" s="53" t="s">
        <v>1225</v>
      </c>
      <c r="N21" s="53" t="s">
        <v>1212</v>
      </c>
      <c r="O21" s="208"/>
      <c r="P21" s="14"/>
      <c r="AB21" s="170">
        <v>19</v>
      </c>
      <c r="AC21" s="168"/>
      <c r="AD21" s="168"/>
      <c r="AE21" s="169"/>
      <c r="AF21" s="165">
        <f t="shared" si="0"/>
        <v>0</v>
      </c>
      <c r="AG21" s="166">
        <f t="shared" si="1"/>
        <v>0</v>
      </c>
      <c r="AH21" s="174">
        <f t="shared" si="2"/>
        <v>0</v>
      </c>
      <c r="AI21"/>
      <c r="AJ21"/>
      <c r="AK21"/>
      <c r="AL21"/>
      <c r="AM21"/>
      <c r="AN21"/>
      <c r="AO21"/>
      <c r="AS21" s="106">
        <v>28</v>
      </c>
      <c r="AT21" s="136">
        <v>990</v>
      </c>
      <c r="AU21" s="107" t="s">
        <v>1163</v>
      </c>
      <c r="AV21" s="118" t="s">
        <v>1229</v>
      </c>
      <c r="AW21" s="107" t="s">
        <v>1163</v>
      </c>
      <c r="AZ21" s="168">
        <v>4</v>
      </c>
      <c r="BA21" s="107" t="s">
        <v>1202</v>
      </c>
      <c r="BB21" s="113" t="s">
        <v>1203</v>
      </c>
      <c r="BC21" s="113" t="s">
        <v>1204</v>
      </c>
      <c r="BD21" s="120" t="s">
        <v>1230</v>
      </c>
    </row>
    <row r="22" spans="1:225" s="5" customFormat="1" ht="25.5" hidden="1" customHeight="1">
      <c r="A22" s="214"/>
      <c r="B22" s="242" t="s">
        <v>607</v>
      </c>
      <c r="C22" s="190"/>
      <c r="D22" s="190"/>
      <c r="E22" s="190"/>
      <c r="F22" s="190"/>
      <c r="G22" s="190"/>
      <c r="H22" s="190"/>
      <c r="I22" s="190"/>
      <c r="J22" s="190"/>
      <c r="K22" s="45"/>
      <c r="L22" s="70" t="s">
        <v>1228</v>
      </c>
      <c r="M22" s="53" t="s">
        <v>1212</v>
      </c>
      <c r="N22" s="53" t="s">
        <v>1212</v>
      </c>
      <c r="O22" s="208"/>
      <c r="P22" s="14"/>
      <c r="AB22" s="171">
        <v>20</v>
      </c>
      <c r="AC22" s="168"/>
      <c r="AD22" s="168"/>
      <c r="AE22" s="169"/>
      <c r="AF22" s="165">
        <f t="shared" si="0"/>
        <v>0</v>
      </c>
      <c r="AG22" s="166">
        <f t="shared" si="1"/>
        <v>0</v>
      </c>
      <c r="AH22" s="174">
        <f t="shared" si="2"/>
        <v>0</v>
      </c>
      <c r="AI22"/>
      <c r="AJ22"/>
      <c r="AK22"/>
      <c r="AL22"/>
      <c r="AM22"/>
      <c r="AN22"/>
      <c r="AO22"/>
      <c r="AS22" s="106">
        <v>32</v>
      </c>
      <c r="AT22" s="136">
        <v>1130</v>
      </c>
      <c r="AU22" s="107" t="s">
        <v>1163</v>
      </c>
      <c r="AV22" s="118" t="s">
        <v>1229</v>
      </c>
      <c r="AW22" s="107" t="s">
        <v>1163</v>
      </c>
      <c r="AZ22" s="177"/>
    </row>
    <row r="23" spans="1:225" s="5" customFormat="1" ht="25.5" customHeight="1">
      <c r="A23" s="214"/>
      <c r="B23" s="242" t="s">
        <v>608</v>
      </c>
      <c r="C23" s="190" t="s">
        <v>1326</v>
      </c>
      <c r="D23" s="190" t="s">
        <v>1326</v>
      </c>
      <c r="E23" s="191"/>
      <c r="F23" s="191"/>
      <c r="G23" s="191"/>
      <c r="H23" s="191"/>
      <c r="I23" s="191"/>
      <c r="J23" s="191"/>
      <c r="K23" s="45"/>
      <c r="L23" s="70"/>
      <c r="M23" s="53"/>
      <c r="N23" s="53"/>
      <c r="O23" s="208"/>
      <c r="P23" s="14"/>
      <c r="AB23" s="170">
        <v>21</v>
      </c>
      <c r="AC23" s="168"/>
      <c r="AD23" s="168"/>
      <c r="AE23" s="169"/>
      <c r="AF23" s="165">
        <f t="shared" si="0"/>
        <v>0</v>
      </c>
      <c r="AG23" s="166">
        <f t="shared" si="1"/>
        <v>0</v>
      </c>
      <c r="AH23" s="174">
        <f t="shared" si="2"/>
        <v>0</v>
      </c>
      <c r="AI23"/>
      <c r="AJ23"/>
      <c r="AK23"/>
      <c r="AL23"/>
      <c r="AM23"/>
      <c r="AN23"/>
      <c r="AO23"/>
      <c r="AS23" s="106">
        <v>36</v>
      </c>
      <c r="AT23" s="136">
        <v>1270</v>
      </c>
      <c r="AU23" s="107" t="s">
        <v>1163</v>
      </c>
      <c r="AV23" s="118" t="s">
        <v>1229</v>
      </c>
      <c r="AW23" s="107" t="s">
        <v>1163</v>
      </c>
      <c r="AZ23" s="177"/>
      <c r="BD23" s="20"/>
      <c r="BE23" s="20"/>
      <c r="BF23" s="20"/>
      <c r="BG23" s="20"/>
      <c r="BH23" s="20"/>
      <c r="BI23" s="20"/>
      <c r="BJ23" s="20"/>
      <c r="BK23" s="20"/>
      <c r="BL23" s="20"/>
    </row>
    <row r="24" spans="1:225" s="8" customFormat="1" ht="25.5" customHeight="1">
      <c r="A24" s="214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208"/>
      <c r="P24" s="14"/>
      <c r="AB24" s="171">
        <v>22</v>
      </c>
      <c r="AC24" s="168"/>
      <c r="AD24" s="168"/>
      <c r="AE24" s="169"/>
      <c r="AF24" s="165">
        <f t="shared" si="0"/>
        <v>0</v>
      </c>
      <c r="AG24" s="166">
        <f t="shared" si="1"/>
        <v>0</v>
      </c>
      <c r="AH24" s="174">
        <f t="shared" si="2"/>
        <v>0</v>
      </c>
      <c r="AI24"/>
      <c r="AJ24"/>
      <c r="AK24"/>
      <c r="AL24"/>
      <c r="AM24"/>
      <c r="AN24"/>
      <c r="AO24"/>
      <c r="AS24" s="106">
        <v>40</v>
      </c>
      <c r="AT24" s="136">
        <v>1410</v>
      </c>
      <c r="AU24" s="107" t="s">
        <v>1163</v>
      </c>
      <c r="AV24" s="118" t="s">
        <v>1229</v>
      </c>
      <c r="AW24" s="107" t="s">
        <v>1163</v>
      </c>
      <c r="AZ24" s="179"/>
      <c r="BD24" s="20"/>
      <c r="BE24" s="20"/>
      <c r="BF24" s="20"/>
      <c r="BG24" s="20"/>
      <c r="BH24" s="20"/>
      <c r="BI24" s="20"/>
      <c r="BJ24" s="20"/>
      <c r="BK24" s="20"/>
      <c r="BL24" s="20"/>
    </row>
    <row r="25" spans="1:225" s="8" customFormat="1" ht="25.5" customHeight="1">
      <c r="A25" s="214"/>
      <c r="B25" s="242" t="s">
        <v>1165</v>
      </c>
      <c r="C25" s="186" t="s">
        <v>546</v>
      </c>
      <c r="D25" s="186" t="s">
        <v>546</v>
      </c>
      <c r="E25" s="186"/>
      <c r="F25" s="186"/>
      <c r="G25" s="186"/>
      <c r="H25" s="186"/>
      <c r="I25" s="186"/>
      <c r="J25" s="186"/>
      <c r="K25" s="45"/>
      <c r="L25" s="70"/>
      <c r="M25" s="53"/>
      <c r="N25" s="53"/>
      <c r="O25" s="208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68"/>
      <c r="AD25" s="168"/>
      <c r="AE25" s="169"/>
      <c r="AF25" s="165">
        <f t="shared" si="0"/>
        <v>0</v>
      </c>
      <c r="AG25" s="166">
        <f t="shared" si="1"/>
        <v>0</v>
      </c>
      <c r="AH25" s="174">
        <f t="shared" si="2"/>
        <v>0</v>
      </c>
      <c r="AI25"/>
      <c r="AJ25"/>
      <c r="AK25"/>
      <c r="AL25"/>
      <c r="AM25"/>
      <c r="AN25"/>
      <c r="AO25"/>
      <c r="AP25" s="20"/>
      <c r="AQ25" s="20"/>
      <c r="AR25" s="20"/>
      <c r="AS25" s="106">
        <v>44</v>
      </c>
      <c r="AT25" s="136">
        <v>1551</v>
      </c>
      <c r="AU25" s="107" t="s">
        <v>1163</v>
      </c>
      <c r="AV25" s="118" t="s">
        <v>1229</v>
      </c>
      <c r="AW25" s="107" t="s">
        <v>1163</v>
      </c>
      <c r="AX25" s="20"/>
      <c r="AY25" s="20"/>
      <c r="AZ25" s="18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</row>
    <row r="26" spans="1:225" s="8" customFormat="1" ht="25.5" customHeight="1">
      <c r="A26" s="214"/>
      <c r="B26" s="242" t="s">
        <v>1166</v>
      </c>
      <c r="C26" s="186" t="s">
        <v>540</v>
      </c>
      <c r="D26" s="186" t="s">
        <v>544</v>
      </c>
      <c r="E26" s="186"/>
      <c r="F26" s="186"/>
      <c r="G26" s="186"/>
      <c r="H26" s="186"/>
      <c r="I26" s="186"/>
      <c r="J26" s="186"/>
      <c r="K26" s="45"/>
      <c r="L26" s="71"/>
      <c r="M26" s="50"/>
      <c r="N26" s="50"/>
      <c r="O26" s="208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68"/>
      <c r="AD26" s="168"/>
      <c r="AE26" s="169"/>
      <c r="AF26" s="165">
        <f t="shared" si="0"/>
        <v>0</v>
      </c>
      <c r="AG26" s="166">
        <f t="shared" si="1"/>
        <v>0</v>
      </c>
      <c r="AH26" s="174">
        <f t="shared" si="2"/>
        <v>0</v>
      </c>
      <c r="AI26"/>
      <c r="AJ26"/>
      <c r="AK26"/>
      <c r="AL26"/>
      <c r="AM26"/>
      <c r="AN26"/>
      <c r="AO26"/>
      <c r="AP26" s="20"/>
      <c r="AQ26" s="20"/>
      <c r="AR26" s="20"/>
      <c r="AS26" s="106">
        <v>48</v>
      </c>
      <c r="AT26" s="136">
        <v>1692</v>
      </c>
      <c r="AU26" s="107" t="s">
        <v>1163</v>
      </c>
      <c r="AV26" s="118" t="s">
        <v>1229</v>
      </c>
      <c r="AW26" s="107" t="s">
        <v>1163</v>
      </c>
      <c r="AX26" s="20"/>
      <c r="AY26" s="20"/>
      <c r="AZ26" s="18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</row>
    <row r="27" spans="1:225" s="8" customFormat="1" ht="25.5" customHeight="1" thickBot="1">
      <c r="A27" s="214"/>
      <c r="B27" s="242" t="s">
        <v>1167</v>
      </c>
      <c r="C27" s="187" t="s">
        <v>1324</v>
      </c>
      <c r="D27" s="187">
        <v>36</v>
      </c>
      <c r="E27" s="187"/>
      <c r="F27" s="187"/>
      <c r="G27" s="187"/>
      <c r="H27" s="187"/>
      <c r="I27" s="187"/>
      <c r="J27" s="187"/>
      <c r="K27" s="45"/>
      <c r="L27" s="70"/>
      <c r="M27" s="53"/>
      <c r="N27" s="53"/>
      <c r="O27" s="208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68"/>
      <c r="AD27" s="168"/>
      <c r="AE27" s="169"/>
      <c r="AF27" s="165">
        <f t="shared" si="0"/>
        <v>0</v>
      </c>
      <c r="AG27" s="172">
        <f t="shared" si="1"/>
        <v>0</v>
      </c>
      <c r="AH27" s="174">
        <f t="shared" si="2"/>
        <v>0</v>
      </c>
      <c r="AI27"/>
      <c r="AJ27"/>
      <c r="AK27"/>
      <c r="AL27"/>
      <c r="AM27"/>
      <c r="AN27"/>
      <c r="AO27"/>
      <c r="AP27" s="20"/>
      <c r="AQ27" s="20"/>
      <c r="AR27" s="20"/>
      <c r="AS27" s="106">
        <v>4</v>
      </c>
      <c r="AT27" s="136">
        <v>210</v>
      </c>
      <c r="AU27" s="107" t="s">
        <v>1164</v>
      </c>
      <c r="AV27" s="118" t="s">
        <v>1229</v>
      </c>
      <c r="AW27" s="107" t="s">
        <v>1164</v>
      </c>
      <c r="AX27" s="20"/>
      <c r="AY27" s="20"/>
      <c r="AZ27" s="18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</row>
    <row r="28" spans="1:225" s="8" customFormat="1" ht="25.5" customHeight="1" thickBot="1">
      <c r="A28" s="214"/>
      <c r="B28" s="242" t="s">
        <v>1168</v>
      </c>
      <c r="C28" s="187" t="s">
        <v>570</v>
      </c>
      <c r="D28" s="187" t="s">
        <v>573</v>
      </c>
      <c r="E28" s="187"/>
      <c r="F28" s="187"/>
      <c r="G28" s="187"/>
      <c r="H28" s="187"/>
      <c r="I28" s="187"/>
      <c r="J28" s="187"/>
      <c r="K28" s="45"/>
      <c r="L28" s="70"/>
      <c r="M28" s="53"/>
      <c r="N28" s="53"/>
      <c r="O28" s="208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/>
      <c r="AD28"/>
      <c r="AE28" s="173"/>
      <c r="AF28" s="173">
        <f>SUM(AF3:AF27)</f>
        <v>3135.258823529412</v>
      </c>
      <c r="AG28" s="173">
        <f>SUM(AG3:AG27)</f>
        <v>335.03</v>
      </c>
      <c r="AH28"/>
      <c r="AI28"/>
      <c r="AJ28"/>
      <c r="AK28"/>
      <c r="AL28"/>
      <c r="AM28"/>
      <c r="AN28"/>
      <c r="AO28"/>
      <c r="AP28" s="20"/>
      <c r="AQ28" s="20"/>
      <c r="AR28" s="20"/>
      <c r="AS28" s="106">
        <v>8</v>
      </c>
      <c r="AT28" s="136">
        <v>370</v>
      </c>
      <c r="AU28" s="107" t="s">
        <v>1164</v>
      </c>
      <c r="AV28" s="118" t="s">
        <v>1229</v>
      </c>
      <c r="AW28" s="107" t="s">
        <v>1164</v>
      </c>
      <c r="AX28" s="20"/>
      <c r="AY28" s="20"/>
      <c r="AZ28" s="18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</row>
    <row r="29" spans="1:225" s="8" customFormat="1" ht="25.5" customHeight="1">
      <c r="A29" s="214"/>
      <c r="B29" s="242" t="s">
        <v>611</v>
      </c>
      <c r="C29" s="187" t="s">
        <v>653</v>
      </c>
      <c r="D29" s="187" t="s">
        <v>651</v>
      </c>
      <c r="E29" s="187"/>
      <c r="F29" s="187"/>
      <c r="G29" s="187"/>
      <c r="H29" s="187"/>
      <c r="I29" s="187"/>
      <c r="J29" s="187"/>
      <c r="K29" s="45"/>
      <c r="L29" s="70"/>
      <c r="M29" s="53"/>
      <c r="N29" s="53"/>
      <c r="O29" s="21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 s="20"/>
      <c r="AQ29" s="20"/>
      <c r="AR29" s="20"/>
      <c r="AS29" s="106">
        <v>12</v>
      </c>
      <c r="AT29" s="136">
        <v>560</v>
      </c>
      <c r="AU29" s="107" t="s">
        <v>1164</v>
      </c>
      <c r="AV29" s="118" t="s">
        <v>1229</v>
      </c>
      <c r="AW29" s="107" t="s">
        <v>1164</v>
      </c>
      <c r="AX29" s="20"/>
      <c r="AY29" s="20"/>
      <c r="AZ29" s="18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</row>
    <row r="30" spans="1:225" s="8" customFormat="1" ht="25.5" customHeight="1">
      <c r="A30" s="214"/>
      <c r="B30" s="388"/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O30" s="21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 s="20"/>
      <c r="AQ30" s="20"/>
      <c r="AR30" s="20"/>
      <c r="AS30" s="106">
        <v>16</v>
      </c>
      <c r="AT30" s="136">
        <v>730</v>
      </c>
      <c r="AU30" s="107" t="s">
        <v>1164</v>
      </c>
      <c r="AV30" s="118" t="s">
        <v>1229</v>
      </c>
      <c r="AW30" s="107" t="s">
        <v>1164</v>
      </c>
      <c r="AX30" s="20"/>
      <c r="AY30" s="20"/>
      <c r="AZ30" s="18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</row>
    <row r="31" spans="1:225" s="8" customFormat="1" ht="25.5" customHeight="1">
      <c r="A31" s="214"/>
      <c r="B31" s="242" t="s">
        <v>1165</v>
      </c>
      <c r="C31" s="186" t="s">
        <v>519</v>
      </c>
      <c r="D31" s="186" t="s">
        <v>519</v>
      </c>
      <c r="E31" s="186"/>
      <c r="F31" s="186"/>
      <c r="G31" s="186"/>
      <c r="H31" s="186"/>
      <c r="I31" s="186"/>
      <c r="J31" s="186"/>
      <c r="K31" s="45"/>
      <c r="L31" s="70"/>
      <c r="M31" s="53"/>
      <c r="N31" s="53"/>
      <c r="O31" s="208"/>
      <c r="P31" s="14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F31"/>
      <c r="AG31"/>
      <c r="AH31"/>
      <c r="AI31"/>
      <c r="AJ31"/>
      <c r="AK31"/>
      <c r="AL31"/>
      <c r="AM31"/>
      <c r="AN31"/>
      <c r="AO31"/>
      <c r="AP31" s="20"/>
      <c r="AQ31" s="20"/>
      <c r="AR31" s="20"/>
      <c r="AS31" s="106">
        <v>20</v>
      </c>
      <c r="AT31" s="136">
        <v>910</v>
      </c>
      <c r="AU31" s="107" t="s">
        <v>1164</v>
      </c>
      <c r="AV31" s="118" t="s">
        <v>1229</v>
      </c>
      <c r="AW31" s="107" t="s">
        <v>1164</v>
      </c>
      <c r="AX31" s="20"/>
      <c r="AY31" s="20"/>
      <c r="AZ31" s="18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</row>
    <row r="32" spans="1:225" s="8" customFormat="1" ht="25.5" customHeight="1">
      <c r="A32" s="214"/>
      <c r="B32" s="242" t="s">
        <v>1166</v>
      </c>
      <c r="C32" s="186" t="s">
        <v>534</v>
      </c>
      <c r="D32" s="186" t="s">
        <v>534</v>
      </c>
      <c r="E32" s="186"/>
      <c r="F32" s="186"/>
      <c r="G32" s="186"/>
      <c r="H32" s="186"/>
      <c r="I32" s="186"/>
      <c r="J32" s="186"/>
      <c r="K32" s="45"/>
      <c r="L32" s="71"/>
      <c r="M32" s="50"/>
      <c r="N32" s="50"/>
      <c r="O32" s="208"/>
      <c r="P32" s="14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F32"/>
      <c r="AG32"/>
      <c r="AH32"/>
      <c r="AI32"/>
      <c r="AJ32"/>
      <c r="AK32"/>
      <c r="AL32"/>
      <c r="AM32"/>
      <c r="AN32"/>
      <c r="AO32"/>
      <c r="AP32" s="20"/>
      <c r="AQ32" s="20"/>
      <c r="AR32" s="20"/>
      <c r="AS32" s="106">
        <v>24</v>
      </c>
      <c r="AT32" s="136">
        <v>1110</v>
      </c>
      <c r="AU32" s="107" t="s">
        <v>1164</v>
      </c>
      <c r="AV32" s="118" t="s">
        <v>1229</v>
      </c>
      <c r="AW32" s="107" t="s">
        <v>1164</v>
      </c>
      <c r="AX32" s="20"/>
      <c r="AY32" s="20"/>
      <c r="AZ32" s="18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</row>
    <row r="33" spans="1:225" s="8" customFormat="1" ht="25.5" customHeight="1">
      <c r="A33" s="214"/>
      <c r="B33" s="242" t="s">
        <v>1167</v>
      </c>
      <c r="C33" s="187" t="s">
        <v>1323</v>
      </c>
      <c r="D33" s="187" t="s">
        <v>1323</v>
      </c>
      <c r="E33" s="187"/>
      <c r="F33" s="187"/>
      <c r="G33" s="187"/>
      <c r="H33" s="187"/>
      <c r="I33" s="187"/>
      <c r="J33" s="187"/>
      <c r="K33" s="45"/>
      <c r="L33" s="70"/>
      <c r="M33" s="53"/>
      <c r="N33" s="53"/>
      <c r="O33" s="208"/>
      <c r="P33" s="14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 s="20"/>
      <c r="AQ33" s="20"/>
      <c r="AR33" s="20"/>
      <c r="AS33" s="106">
        <v>28</v>
      </c>
      <c r="AT33" s="136">
        <v>1270</v>
      </c>
      <c r="AU33" s="107" t="s">
        <v>1164</v>
      </c>
      <c r="AV33" s="118" t="s">
        <v>1229</v>
      </c>
      <c r="AW33" s="107" t="s">
        <v>1164</v>
      </c>
      <c r="AX33" s="20"/>
      <c r="AY33" s="20"/>
      <c r="AZ33" s="18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</row>
    <row r="34" spans="1:225" s="8" customFormat="1" ht="25.5" customHeight="1">
      <c r="A34" s="214"/>
      <c r="B34" s="242" t="s">
        <v>1168</v>
      </c>
      <c r="C34" s="187" t="s">
        <v>573</v>
      </c>
      <c r="D34" s="187" t="s">
        <v>573</v>
      </c>
      <c r="E34" s="187"/>
      <c r="F34" s="187"/>
      <c r="G34" s="187"/>
      <c r="H34" s="187"/>
      <c r="I34" s="187"/>
      <c r="J34" s="187"/>
      <c r="K34" s="45"/>
      <c r="L34" s="70"/>
      <c r="M34" s="53"/>
      <c r="N34" s="53"/>
      <c r="O34" s="208"/>
      <c r="P34" s="14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 s="20"/>
      <c r="AQ34" s="20"/>
      <c r="AR34" s="20"/>
      <c r="AS34" s="106">
        <v>32</v>
      </c>
      <c r="AT34" s="136">
        <v>1461</v>
      </c>
      <c r="AU34" s="107" t="s">
        <v>1164</v>
      </c>
      <c r="AV34" s="118" t="s">
        <v>1229</v>
      </c>
      <c r="AW34" s="107" t="s">
        <v>1164</v>
      </c>
      <c r="AX34" s="20"/>
      <c r="AY34" s="20"/>
      <c r="AZ34" s="18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</row>
    <row r="35" spans="1:225" s="8" customFormat="1" ht="25.5" customHeight="1">
      <c r="A35" s="214"/>
      <c r="B35" s="242" t="s">
        <v>611</v>
      </c>
      <c r="C35" s="187" t="s">
        <v>653</v>
      </c>
      <c r="D35" s="187" t="s">
        <v>653</v>
      </c>
      <c r="E35" s="187"/>
      <c r="F35" s="187"/>
      <c r="G35" s="187"/>
      <c r="H35" s="187"/>
      <c r="I35" s="187"/>
      <c r="J35" s="187"/>
      <c r="K35" s="45"/>
      <c r="L35" s="70"/>
      <c r="M35" s="53"/>
      <c r="N35" s="53"/>
      <c r="O35" s="21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 s="20"/>
      <c r="AQ35" s="20"/>
      <c r="AR35" s="20"/>
      <c r="AS35" s="106">
        <v>36</v>
      </c>
      <c r="AT35" s="136">
        <v>1631</v>
      </c>
      <c r="AU35" s="107" t="s">
        <v>1164</v>
      </c>
      <c r="AV35" s="118" t="s">
        <v>1229</v>
      </c>
      <c r="AW35" s="107" t="s">
        <v>1164</v>
      </c>
      <c r="AX35" s="20"/>
      <c r="AY35" s="20"/>
      <c r="AZ35" s="18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0"/>
      <c r="GR35" s="20"/>
      <c r="GS35" s="20"/>
      <c r="GT35" s="20"/>
      <c r="GU35" s="20"/>
      <c r="GV35" s="20"/>
      <c r="GW35" s="20"/>
      <c r="GX35" s="20"/>
      <c r="GY35" s="20"/>
      <c r="GZ35" s="20"/>
      <c r="HA35" s="20"/>
      <c r="HB35" s="20"/>
      <c r="HC35" s="20"/>
      <c r="HD35" s="20"/>
      <c r="HE35" s="20"/>
      <c r="HF35" s="20"/>
      <c r="HG35" s="20"/>
      <c r="HH35" s="20"/>
      <c r="HI35" s="20"/>
      <c r="HJ35" s="20"/>
      <c r="HK35" s="20"/>
      <c r="HL35" s="20"/>
      <c r="HM35" s="20"/>
      <c r="HN35" s="20"/>
      <c r="HO35" s="20"/>
      <c r="HP35" s="20"/>
      <c r="HQ35" s="20"/>
    </row>
    <row r="36" spans="1:225" s="8" customFormat="1" ht="25.5" customHeight="1">
      <c r="A36" s="214"/>
      <c r="B36" s="388" t="s">
        <v>612</v>
      </c>
      <c r="C36" s="389"/>
      <c r="D36" s="389"/>
      <c r="E36" s="389"/>
      <c r="F36" s="389"/>
      <c r="G36" s="389"/>
      <c r="H36" s="389"/>
      <c r="I36" s="389"/>
      <c r="J36" s="390"/>
      <c r="K36" s="45"/>
      <c r="L36" s="70"/>
      <c r="M36" s="53"/>
      <c r="N36" s="53"/>
      <c r="O36" s="21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5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 s="20"/>
      <c r="AQ36" s="20"/>
      <c r="AR36" s="20"/>
      <c r="AS36" s="106">
        <v>40</v>
      </c>
      <c r="AT36" s="136">
        <v>1810</v>
      </c>
      <c r="AU36" s="107" t="s">
        <v>1164</v>
      </c>
      <c r="AV36" s="118" t="s">
        <v>1229</v>
      </c>
      <c r="AW36" s="107" t="s">
        <v>1164</v>
      </c>
      <c r="AX36" s="20"/>
      <c r="AY36" s="20"/>
      <c r="AZ36" s="18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  <c r="FS36" s="20"/>
      <c r="FT36" s="20"/>
      <c r="FU36" s="20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0"/>
      <c r="GR36" s="20"/>
      <c r="GS36" s="20"/>
      <c r="GT36" s="20"/>
      <c r="GU36" s="20"/>
      <c r="GV36" s="20"/>
      <c r="GW36" s="20"/>
      <c r="GX36" s="20"/>
      <c r="GY36" s="20"/>
      <c r="GZ36" s="20"/>
      <c r="HA36" s="20"/>
      <c r="HB36" s="20"/>
      <c r="HC36" s="20"/>
      <c r="HD36" s="20"/>
      <c r="HE36" s="20"/>
      <c r="HF36" s="20"/>
      <c r="HG36" s="20"/>
      <c r="HH36" s="20"/>
      <c r="HI36" s="20"/>
      <c r="HJ36" s="20"/>
      <c r="HK36" s="20"/>
      <c r="HL36" s="20"/>
      <c r="HM36" s="20"/>
      <c r="HN36" s="20"/>
      <c r="HO36" s="20"/>
      <c r="HP36" s="20"/>
      <c r="HQ36" s="20"/>
    </row>
    <row r="37" spans="1:225" s="8" customFormat="1" ht="25.5" customHeight="1">
      <c r="A37" s="214"/>
      <c r="B37" s="435"/>
      <c r="C37" s="436"/>
      <c r="D37" s="436"/>
      <c r="E37" s="436"/>
      <c r="F37" s="436"/>
      <c r="G37" s="436"/>
      <c r="H37" s="436"/>
      <c r="I37" s="436"/>
      <c r="J37" s="437"/>
      <c r="K37" s="45"/>
      <c r="O37" s="21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5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 s="20"/>
      <c r="AQ37" s="20"/>
      <c r="AR37" s="20"/>
      <c r="AS37" s="106">
        <v>44</v>
      </c>
      <c r="AT37" s="136">
        <v>2011</v>
      </c>
      <c r="AU37" s="107" t="s">
        <v>1164</v>
      </c>
      <c r="AV37" s="118" t="s">
        <v>1229</v>
      </c>
      <c r="AW37" s="107" t="s">
        <v>1164</v>
      </c>
      <c r="AX37" s="20"/>
      <c r="AY37" s="20"/>
      <c r="AZ37" s="18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0"/>
      <c r="GR37" s="20"/>
      <c r="GS37" s="20"/>
      <c r="GT37" s="20"/>
      <c r="GU37" s="20"/>
      <c r="GV37" s="20"/>
      <c r="GW37" s="20"/>
      <c r="GX37" s="20"/>
      <c r="GY37" s="20"/>
      <c r="GZ37" s="20"/>
      <c r="HA37" s="20"/>
      <c r="HB37" s="20"/>
      <c r="HC37" s="20"/>
      <c r="HD37" s="20"/>
      <c r="HE37" s="20"/>
      <c r="HF37" s="20"/>
      <c r="HG37" s="20"/>
      <c r="HH37" s="20"/>
      <c r="HI37" s="20"/>
      <c r="HJ37" s="20"/>
      <c r="HK37" s="20"/>
      <c r="HL37" s="20"/>
      <c r="HM37" s="20"/>
      <c r="HN37" s="20"/>
      <c r="HO37" s="20"/>
      <c r="HP37" s="20"/>
      <c r="HQ37" s="20"/>
    </row>
    <row r="38" spans="1:225" s="8" customFormat="1" ht="25.5" customHeight="1">
      <c r="A38" s="214"/>
      <c r="B38" s="438"/>
      <c r="C38" s="439"/>
      <c r="D38" s="439"/>
      <c r="E38" s="439"/>
      <c r="F38" s="439"/>
      <c r="G38" s="439"/>
      <c r="H38" s="439"/>
      <c r="I38" s="439"/>
      <c r="J38" s="440"/>
      <c r="K38" s="45"/>
      <c r="O38" s="21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5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 s="20"/>
      <c r="AQ38" s="20"/>
      <c r="AR38" s="20"/>
      <c r="AS38" s="106">
        <v>48</v>
      </c>
      <c r="AT38" s="136">
        <v>2210</v>
      </c>
      <c r="AU38" s="107" t="s">
        <v>1164</v>
      </c>
      <c r="AV38" s="118" t="s">
        <v>1229</v>
      </c>
      <c r="AW38" s="107" t="s">
        <v>1164</v>
      </c>
      <c r="AX38" s="20"/>
      <c r="AY38" s="20"/>
      <c r="AZ38" s="18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</row>
    <row r="39" spans="1:225" s="8" customFormat="1" ht="25.5" customHeight="1">
      <c r="A39" s="214"/>
      <c r="B39" s="438"/>
      <c r="C39" s="439"/>
      <c r="D39" s="439"/>
      <c r="E39" s="439"/>
      <c r="F39" s="439"/>
      <c r="G39" s="439"/>
      <c r="H39" s="439"/>
      <c r="I39" s="439"/>
      <c r="J39" s="440"/>
      <c r="K39" s="45"/>
      <c r="O39" s="21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5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 s="20"/>
      <c r="AQ39" s="20"/>
      <c r="AR39" s="20"/>
      <c r="AS39" s="205" t="s">
        <v>1312</v>
      </c>
      <c r="AT39" s="137">
        <v>40</v>
      </c>
      <c r="AU39" s="109" t="s">
        <v>1162</v>
      </c>
      <c r="AV39" s="120" t="s">
        <v>1230</v>
      </c>
      <c r="AW39" s="109" t="s">
        <v>1313</v>
      </c>
      <c r="AX39" s="20"/>
      <c r="AY39" s="20"/>
      <c r="AZ39" s="18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</row>
    <row r="40" spans="1:225" s="8" customFormat="1" ht="25.5" customHeight="1" thickBot="1">
      <c r="A40" s="215"/>
      <c r="B40" s="438"/>
      <c r="C40" s="441"/>
      <c r="D40" s="441"/>
      <c r="E40" s="441"/>
      <c r="F40" s="441"/>
      <c r="G40" s="441"/>
      <c r="H40" s="441"/>
      <c r="I40" s="441"/>
      <c r="J40" s="442"/>
      <c r="K40" s="45"/>
      <c r="O40" s="21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5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 s="20"/>
      <c r="AQ40" s="20"/>
      <c r="AR40" s="20"/>
      <c r="AS40" s="205" t="s">
        <v>1312</v>
      </c>
      <c r="AT40" s="137">
        <v>35</v>
      </c>
      <c r="AU40" s="109" t="s">
        <v>1163</v>
      </c>
      <c r="AV40" s="120" t="s">
        <v>1230</v>
      </c>
      <c r="AW40" s="109" t="s">
        <v>1313</v>
      </c>
      <c r="AX40" s="20"/>
      <c r="AY40" s="20"/>
      <c r="AZ40" s="18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</row>
    <row r="41" spans="1:225" s="5" customFormat="1" ht="25.5" customHeight="1" thickTop="1" thickBot="1">
      <c r="A41" s="213"/>
      <c r="B41" s="242" t="s">
        <v>603</v>
      </c>
      <c r="C41" s="239">
        <f t="shared" ref="C41:J41" si="4">C18</f>
        <v>10000</v>
      </c>
      <c r="D41" s="239">
        <f t="shared" si="4"/>
        <v>10000</v>
      </c>
      <c r="E41" s="239">
        <f t="shared" si="4"/>
        <v>0</v>
      </c>
      <c r="F41" s="239">
        <f t="shared" si="4"/>
        <v>0</v>
      </c>
      <c r="G41" s="239">
        <f t="shared" si="4"/>
        <v>0</v>
      </c>
      <c r="H41" s="239">
        <f t="shared" si="4"/>
        <v>0</v>
      </c>
      <c r="I41" s="239">
        <f t="shared" si="4"/>
        <v>0</v>
      </c>
      <c r="J41" s="239">
        <f t="shared" si="4"/>
        <v>0</v>
      </c>
      <c r="K41" s="45"/>
      <c r="O41" s="54"/>
      <c r="AC41"/>
      <c r="AD41"/>
      <c r="AE41"/>
      <c r="AF41"/>
      <c r="AG41"/>
      <c r="AH41"/>
      <c r="AI41"/>
      <c r="AJ41"/>
      <c r="AK41"/>
      <c r="AL41"/>
      <c r="AM41"/>
      <c r="AN41"/>
      <c r="AO41"/>
      <c r="AS41" s="205" t="s">
        <v>1312</v>
      </c>
      <c r="AT41" s="137">
        <v>50</v>
      </c>
      <c r="AU41" s="109" t="s">
        <v>1164</v>
      </c>
      <c r="AV41" s="120" t="s">
        <v>1230</v>
      </c>
      <c r="AW41" s="109" t="s">
        <v>1313</v>
      </c>
      <c r="AZ41" s="177"/>
    </row>
    <row r="42" spans="1:225" s="5" customFormat="1" ht="25.5" customHeight="1" thickTop="1">
      <c r="A42" s="214"/>
      <c r="B42" s="72" t="s">
        <v>614</v>
      </c>
      <c r="C42" s="143">
        <f>IF(ROYALTY_ESPECIE_01&lt;&gt;0,ROYALTY_ESPECIE_01*VLOOKUP(Moeda_01,$P$3:$Q$8,2,FALSE),ROYALTY_PERCENTUAL_01*PrecoMKT_01)</f>
        <v>0</v>
      </c>
      <c r="D42" s="143">
        <f>IF(ROYALTY_ESPECIE_02&lt;&gt;0,ROYALTY_ESPECIE_02*VLOOKUP(Moeda_02,$P$3:$Q$8,2,FALSE),ROYALTY_PERCENTUAL_02*PrecoMKT_02)</f>
        <v>0</v>
      </c>
      <c r="E42" s="143">
        <f>IF(ROYALTY_ESPECIE_03&lt;&gt;0,ROYALTY_ESPECIE_03*VLOOKUP(Moeda_03,$P$3:$Q$8,2,FALSE),ROYALTY_PERCENTUAL_03*PrecoMKT_03)</f>
        <v>0</v>
      </c>
      <c r="F42" s="143">
        <f>IF(ROYALTY_ESPECIE_04&lt;&gt;0,ROYALTY_ESPECIE_04*VLOOKUP(Moeda_04,$P$3:$Q$8,2,FALSE),ROYALTY_PERCENTUAL_04*PrecoMKT_04)</f>
        <v>0</v>
      </c>
      <c r="G42" s="143">
        <f>IF(ROYALTY_ESPECIE_05&lt;&gt;0,ROYALTY_ESPECIE_05*VLOOKUP(Moeda_05,$P$3:$Q$8,2,FALSE),ROYALTY_PERCENTUAL_05*PrecoMKT_05)</f>
        <v>0</v>
      </c>
      <c r="H42" s="143">
        <f>IF(ROYALTY_ESPECIE_06&lt;&gt;0,ROYALTY_ESPECIE_06*VLOOKUP(Moeda_06,$P$3:$Q$8,2,FALSE),ROYALTY_PERCENTUAL_06*PrecoMKT_06)</f>
        <v>0</v>
      </c>
      <c r="I42" s="143">
        <f>IF(ROYALTY_ESPECIE_07&lt;&gt;0,ROYALTY_ESPECIE_07*VLOOKUP(Moeda_07,$P$3:$Q$8,2,FALSE),ROYALTY_PERCENTUAL_07*PrecoMKT_07)</f>
        <v>0</v>
      </c>
      <c r="J42" s="143">
        <f>IF(ROYALTY_ESPECIE_08&lt;&gt;0,ROYALTY_ESPECIE_08*VLOOKUP(Moeda_08,$P$3:$Q$8,2,FALSE),ROYALTY_PERCENTUAL_08*PrecoMKT_08)</f>
        <v>0</v>
      </c>
      <c r="K42" s="45"/>
      <c r="O42" s="54"/>
      <c r="AC42"/>
      <c r="AD42"/>
      <c r="AE42"/>
      <c r="AF42"/>
      <c r="AG42"/>
      <c r="AH42"/>
      <c r="AI42"/>
      <c r="AJ42"/>
      <c r="AK42"/>
      <c r="AL42"/>
      <c r="AM42"/>
      <c r="AN42"/>
      <c r="AO42"/>
      <c r="AS42" s="108">
        <v>1</v>
      </c>
      <c r="AT42" s="137">
        <v>150</v>
      </c>
      <c r="AU42" s="110" t="s">
        <v>1264</v>
      </c>
      <c r="AV42" s="120" t="s">
        <v>1230</v>
      </c>
      <c r="AW42" s="110" t="s">
        <v>1314</v>
      </c>
      <c r="AZ42" s="177"/>
    </row>
    <row r="43" spans="1:225" s="5" customFormat="1" ht="25.5" customHeight="1">
      <c r="A43" s="214"/>
      <c r="B43" s="10" t="s">
        <v>615</v>
      </c>
      <c r="C43" s="225" t="s">
        <v>1131</v>
      </c>
      <c r="D43" s="225" t="s">
        <v>1131</v>
      </c>
      <c r="E43" s="225" t="s">
        <v>1131</v>
      </c>
      <c r="F43" s="225" t="s">
        <v>1131</v>
      </c>
      <c r="G43" s="225" t="s">
        <v>1131</v>
      </c>
      <c r="H43" s="225" t="s">
        <v>1131</v>
      </c>
      <c r="I43" s="225" t="s">
        <v>1131</v>
      </c>
      <c r="J43" s="225" t="s">
        <v>1131</v>
      </c>
      <c r="K43" s="45"/>
      <c r="O43" s="54"/>
      <c r="AC43"/>
      <c r="AD43"/>
      <c r="AE43"/>
      <c r="AF43"/>
      <c r="AG43"/>
      <c r="AH43"/>
      <c r="AI43"/>
      <c r="AJ43"/>
      <c r="AK43"/>
      <c r="AL43"/>
      <c r="AM43"/>
      <c r="AN43"/>
      <c r="AO43"/>
      <c r="AS43" s="108">
        <v>1</v>
      </c>
      <c r="AT43" s="137">
        <v>180</v>
      </c>
      <c r="AU43" s="110" t="s">
        <v>1265</v>
      </c>
      <c r="AV43" s="120" t="s">
        <v>1230</v>
      </c>
      <c r="AW43" s="110" t="s">
        <v>526</v>
      </c>
      <c r="AZ43" s="177"/>
    </row>
    <row r="44" spans="1:225" s="5" customFormat="1" ht="25.5" customHeight="1">
      <c r="A44" s="214"/>
      <c r="B44" s="10" t="s">
        <v>583</v>
      </c>
      <c r="C44" s="226" t="s">
        <v>1131</v>
      </c>
      <c r="D44" s="226" t="s">
        <v>1131</v>
      </c>
      <c r="E44" s="226" t="s">
        <v>1131</v>
      </c>
      <c r="F44" s="226" t="s">
        <v>1131</v>
      </c>
      <c r="G44" s="226" t="s">
        <v>1131</v>
      </c>
      <c r="H44" s="226" t="s">
        <v>1131</v>
      </c>
      <c r="I44" s="226" t="s">
        <v>1131</v>
      </c>
      <c r="J44" s="226" t="s">
        <v>1131</v>
      </c>
      <c r="K44" s="45"/>
      <c r="O44" s="54"/>
      <c r="AC44"/>
      <c r="AD44"/>
      <c r="AE44"/>
      <c r="AF44"/>
      <c r="AG44"/>
      <c r="AH44"/>
      <c r="AI44"/>
      <c r="AJ44"/>
      <c r="AK44"/>
      <c r="AL44"/>
      <c r="AM44"/>
      <c r="AN44"/>
      <c r="AO44"/>
      <c r="AS44" s="108">
        <v>1</v>
      </c>
      <c r="AT44" s="137">
        <v>800</v>
      </c>
      <c r="AU44" s="110" t="s">
        <v>1266</v>
      </c>
      <c r="AV44" s="120" t="s">
        <v>1230</v>
      </c>
      <c r="AW44" s="110" t="s">
        <v>526</v>
      </c>
      <c r="AZ44" s="177"/>
    </row>
    <row r="45" spans="1:225" s="5" customFormat="1" ht="25.5" customHeight="1">
      <c r="A45" s="214"/>
      <c r="B45" s="10" t="s">
        <v>584</v>
      </c>
      <c r="C45" s="226" t="s">
        <v>1131</v>
      </c>
      <c r="D45" s="226" t="s">
        <v>1131</v>
      </c>
      <c r="E45" s="226" t="s">
        <v>1131</v>
      </c>
      <c r="F45" s="226" t="s">
        <v>1131</v>
      </c>
      <c r="G45" s="226" t="s">
        <v>1131</v>
      </c>
      <c r="H45" s="226" t="s">
        <v>1131</v>
      </c>
      <c r="I45" s="226" t="s">
        <v>1131</v>
      </c>
      <c r="J45" s="226" t="s">
        <v>1131</v>
      </c>
      <c r="K45" s="45"/>
      <c r="O45" s="54"/>
      <c r="AC45"/>
      <c r="AD45"/>
      <c r="AE45"/>
      <c r="AF45"/>
      <c r="AG45"/>
      <c r="AH45"/>
      <c r="AI45"/>
      <c r="AJ45"/>
      <c r="AK45"/>
      <c r="AL45"/>
      <c r="AM45"/>
      <c r="AN45"/>
      <c r="AO45"/>
      <c r="AS45" s="108">
        <v>1</v>
      </c>
      <c r="AT45" s="137">
        <v>200</v>
      </c>
      <c r="AU45" s="110" t="s">
        <v>1267</v>
      </c>
      <c r="AV45" s="120" t="s">
        <v>1230</v>
      </c>
      <c r="AW45" s="110" t="s">
        <v>1315</v>
      </c>
      <c r="AZ45" s="177"/>
    </row>
    <row r="46" spans="1:225" s="5" customFormat="1" ht="25.5" customHeight="1">
      <c r="A46" s="214"/>
      <c r="B46" s="11" t="s">
        <v>585</v>
      </c>
      <c r="C46" s="226" t="s">
        <v>1131</v>
      </c>
      <c r="D46" s="226" t="s">
        <v>1131</v>
      </c>
      <c r="E46" s="226" t="s">
        <v>1131</v>
      </c>
      <c r="F46" s="226" t="s">
        <v>1131</v>
      </c>
      <c r="G46" s="226" t="s">
        <v>1131</v>
      </c>
      <c r="H46" s="226" t="s">
        <v>1131</v>
      </c>
      <c r="I46" s="226" t="s">
        <v>1131</v>
      </c>
      <c r="J46" s="226" t="s">
        <v>1131</v>
      </c>
      <c r="K46" s="45"/>
      <c r="O46" s="54"/>
      <c r="AC46"/>
      <c r="AD46"/>
      <c r="AE46"/>
      <c r="AF46"/>
      <c r="AG46"/>
      <c r="AH46"/>
      <c r="AI46"/>
      <c r="AJ46"/>
      <c r="AK46"/>
      <c r="AL46"/>
      <c r="AM46"/>
      <c r="AN46"/>
      <c r="AO46"/>
      <c r="AS46" s="108">
        <v>1</v>
      </c>
      <c r="AT46" s="137">
        <v>1000</v>
      </c>
      <c r="AU46" s="110" t="s">
        <v>1268</v>
      </c>
      <c r="AV46" s="120" t="s">
        <v>1230</v>
      </c>
      <c r="AW46" s="110" t="s">
        <v>1315</v>
      </c>
      <c r="AZ46" s="177"/>
    </row>
    <row r="47" spans="1:225" s="5" customFormat="1" ht="25.5" customHeight="1">
      <c r="A47" s="214"/>
      <c r="B47" s="11" t="s">
        <v>586</v>
      </c>
      <c r="C47" s="226" t="s">
        <v>1131</v>
      </c>
      <c r="D47" s="226" t="s">
        <v>1131</v>
      </c>
      <c r="E47" s="226" t="s">
        <v>1131</v>
      </c>
      <c r="F47" s="226" t="s">
        <v>1131</v>
      </c>
      <c r="G47" s="226" t="s">
        <v>1131</v>
      </c>
      <c r="H47" s="226" t="s">
        <v>1131</v>
      </c>
      <c r="I47" s="226" t="s">
        <v>1131</v>
      </c>
      <c r="J47" s="226" t="s">
        <v>1131</v>
      </c>
      <c r="K47" s="45"/>
      <c r="O47" s="54"/>
      <c r="AC47"/>
      <c r="AD47"/>
      <c r="AE47"/>
      <c r="AF47"/>
      <c r="AG47"/>
      <c r="AH47"/>
      <c r="AI47"/>
      <c r="AJ47"/>
      <c r="AK47"/>
      <c r="AL47"/>
      <c r="AM47"/>
      <c r="AN47"/>
      <c r="AO47"/>
      <c r="AS47" s="108">
        <v>1</v>
      </c>
      <c r="AT47" s="137">
        <v>200</v>
      </c>
      <c r="AU47" s="110" t="s">
        <v>1269</v>
      </c>
      <c r="AV47" s="120" t="s">
        <v>1230</v>
      </c>
      <c r="AW47" s="110" t="s">
        <v>1316</v>
      </c>
      <c r="AZ47" s="177"/>
    </row>
    <row r="48" spans="1:225" s="5" customFormat="1" ht="25.5" customHeight="1">
      <c r="A48" s="214"/>
      <c r="B48" s="10" t="s">
        <v>616</v>
      </c>
      <c r="C48" s="226" t="s">
        <v>1131</v>
      </c>
      <c r="D48" s="226" t="s">
        <v>1131</v>
      </c>
      <c r="E48" s="226" t="s">
        <v>1131</v>
      </c>
      <c r="F48" s="226" t="s">
        <v>1131</v>
      </c>
      <c r="G48" s="226" t="s">
        <v>1131</v>
      </c>
      <c r="H48" s="226" t="s">
        <v>1131</v>
      </c>
      <c r="I48" s="226" t="s">
        <v>1131</v>
      </c>
      <c r="J48" s="226" t="s">
        <v>1131</v>
      </c>
      <c r="K48" s="45"/>
      <c r="O48" s="54"/>
      <c r="AC48"/>
      <c r="AD48"/>
      <c r="AE48"/>
      <c r="AF48"/>
      <c r="AG48"/>
      <c r="AH48"/>
      <c r="AI48"/>
      <c r="AJ48"/>
      <c r="AK48"/>
      <c r="AL48"/>
      <c r="AM48"/>
      <c r="AN48"/>
      <c r="AO48"/>
      <c r="AS48" s="108">
        <v>1</v>
      </c>
      <c r="AT48" s="137">
        <v>1000</v>
      </c>
      <c r="AU48" s="110" t="s">
        <v>1270</v>
      </c>
      <c r="AV48" s="120" t="s">
        <v>1230</v>
      </c>
      <c r="AW48" s="110" t="s">
        <v>1316</v>
      </c>
      <c r="AZ48" s="177"/>
    </row>
    <row r="49" spans="1:52" s="5" customFormat="1" ht="25.5" customHeight="1">
      <c r="A49" s="214"/>
      <c r="B49" s="10" t="s">
        <v>1125</v>
      </c>
      <c r="C49" s="226" t="s">
        <v>1131</v>
      </c>
      <c r="D49" s="226" t="s">
        <v>1131</v>
      </c>
      <c r="E49" s="226" t="s">
        <v>1131</v>
      </c>
      <c r="F49" s="226" t="s">
        <v>1131</v>
      </c>
      <c r="G49" s="226" t="s">
        <v>1131</v>
      </c>
      <c r="H49" s="226" t="s">
        <v>1131</v>
      </c>
      <c r="I49" s="226" t="s">
        <v>1131</v>
      </c>
      <c r="J49" s="226" t="s">
        <v>1131</v>
      </c>
      <c r="K49" s="45"/>
      <c r="O49" s="54"/>
      <c r="AC49"/>
      <c r="AD49"/>
      <c r="AE49"/>
      <c r="AF49"/>
      <c r="AG49"/>
      <c r="AH49"/>
      <c r="AI49"/>
      <c r="AJ49"/>
      <c r="AK49"/>
      <c r="AL49"/>
      <c r="AM49"/>
      <c r="AN49"/>
      <c r="AO49"/>
      <c r="AS49" s="206" t="s">
        <v>1318</v>
      </c>
      <c r="AT49" s="137">
        <v>13</v>
      </c>
      <c r="AU49" s="110" t="s">
        <v>1271</v>
      </c>
      <c r="AV49" s="120" t="s">
        <v>1230</v>
      </c>
      <c r="AW49" s="110" t="s">
        <v>1317</v>
      </c>
      <c r="AZ49" s="177"/>
    </row>
    <row r="50" spans="1:52" s="5" customFormat="1" ht="25.5" customHeight="1">
      <c r="A50" s="214"/>
      <c r="B50" s="10" t="s">
        <v>1126</v>
      </c>
      <c r="C50" s="226" t="s">
        <v>1131</v>
      </c>
      <c r="D50" s="226" t="s">
        <v>1131</v>
      </c>
      <c r="E50" s="226" t="s">
        <v>1131</v>
      </c>
      <c r="F50" s="226" t="s">
        <v>1131</v>
      </c>
      <c r="G50" s="226" t="s">
        <v>1131</v>
      </c>
      <c r="H50" s="226" t="s">
        <v>1131</v>
      </c>
      <c r="I50" s="226" t="s">
        <v>1131</v>
      </c>
      <c r="J50" s="226" t="s">
        <v>1131</v>
      </c>
      <c r="K50" s="45"/>
      <c r="O50" s="54"/>
      <c r="AC50"/>
      <c r="AD50"/>
      <c r="AE50"/>
      <c r="AF50"/>
      <c r="AG50"/>
      <c r="AH50"/>
      <c r="AI50"/>
      <c r="AJ50"/>
      <c r="AK50"/>
      <c r="AL50"/>
      <c r="AM50"/>
      <c r="AN50"/>
      <c r="AO50"/>
      <c r="AS50" s="206" t="s">
        <v>1318</v>
      </c>
      <c r="AT50" s="137">
        <v>18</v>
      </c>
      <c r="AU50" s="110" t="s">
        <v>1272</v>
      </c>
      <c r="AV50" s="120" t="s">
        <v>1230</v>
      </c>
      <c r="AW50" s="110" t="s">
        <v>1317</v>
      </c>
      <c r="AZ50" s="177"/>
    </row>
    <row r="51" spans="1:52" s="5" customFormat="1" ht="25.5" customHeight="1">
      <c r="A51" s="214"/>
      <c r="B51" s="10" t="s">
        <v>1124</v>
      </c>
      <c r="C51" s="226" t="s">
        <v>1131</v>
      </c>
      <c r="D51" s="226" t="s">
        <v>1131</v>
      </c>
      <c r="E51" s="226" t="s">
        <v>1131</v>
      </c>
      <c r="F51" s="226" t="s">
        <v>1131</v>
      </c>
      <c r="G51" s="226" t="s">
        <v>1131</v>
      </c>
      <c r="H51" s="226" t="s">
        <v>1131</v>
      </c>
      <c r="I51" s="226" t="s">
        <v>1131</v>
      </c>
      <c r="J51" s="226" t="s">
        <v>1131</v>
      </c>
      <c r="K51" s="45"/>
      <c r="O51" s="54"/>
      <c r="AC51"/>
      <c r="AD51"/>
      <c r="AE51"/>
      <c r="AF51"/>
      <c r="AG51"/>
      <c r="AH51"/>
      <c r="AI51"/>
      <c r="AJ51"/>
      <c r="AK51"/>
      <c r="AL51"/>
      <c r="AM51"/>
      <c r="AN51"/>
      <c r="AO51"/>
      <c r="AZ51" s="177"/>
    </row>
    <row r="52" spans="1:52" s="5" customFormat="1" ht="25.5" customHeight="1">
      <c r="A52" s="214"/>
      <c r="B52" s="10" t="s">
        <v>618</v>
      </c>
      <c r="C52" s="226" t="s">
        <v>1131</v>
      </c>
      <c r="D52" s="226" t="s">
        <v>1131</v>
      </c>
      <c r="E52" s="226" t="s">
        <v>1131</v>
      </c>
      <c r="F52" s="226" t="s">
        <v>1131</v>
      </c>
      <c r="G52" s="226" t="s">
        <v>1131</v>
      </c>
      <c r="H52" s="226" t="s">
        <v>1131</v>
      </c>
      <c r="I52" s="226" t="s">
        <v>1131</v>
      </c>
      <c r="J52" s="226" t="s">
        <v>1131</v>
      </c>
      <c r="K52" s="45"/>
      <c r="O52" s="54"/>
      <c r="AC52"/>
      <c r="AD52"/>
      <c r="AE52"/>
      <c r="AF52"/>
      <c r="AG52"/>
      <c r="AH52"/>
      <c r="AI52"/>
      <c r="AJ52"/>
      <c r="AK52"/>
      <c r="AL52"/>
      <c r="AM52"/>
      <c r="AN52"/>
      <c r="AO52"/>
      <c r="AS52"/>
      <c r="AT52"/>
      <c r="AU52"/>
      <c r="AV52"/>
      <c r="AZ52" s="177"/>
    </row>
    <row r="53" spans="1:52" s="5" customFormat="1" ht="25.5" customHeight="1">
      <c r="A53" s="214"/>
      <c r="B53" s="10" t="s">
        <v>619</v>
      </c>
      <c r="C53" s="226" t="s">
        <v>1131</v>
      </c>
      <c r="D53" s="226" t="s">
        <v>1131</v>
      </c>
      <c r="E53" s="226" t="s">
        <v>1131</v>
      </c>
      <c r="F53" s="226" t="s">
        <v>1131</v>
      </c>
      <c r="G53" s="226" t="s">
        <v>1131</v>
      </c>
      <c r="H53" s="226" t="s">
        <v>1131</v>
      </c>
      <c r="I53" s="226" t="s">
        <v>1131</v>
      </c>
      <c r="J53" s="226" t="s">
        <v>1131</v>
      </c>
      <c r="K53" s="45"/>
      <c r="O53" s="54"/>
      <c r="AC53"/>
      <c r="AD53"/>
      <c r="AE53"/>
      <c r="AF53"/>
      <c r="AG53"/>
      <c r="AH53"/>
      <c r="AI53"/>
      <c r="AJ53"/>
      <c r="AK53"/>
      <c r="AL53"/>
      <c r="AM53"/>
      <c r="AN53"/>
      <c r="AO53"/>
      <c r="AS53"/>
      <c r="AT53"/>
      <c r="AU53"/>
      <c r="AV53"/>
      <c r="AZ53" s="177"/>
    </row>
    <row r="54" spans="1:52" s="5" customFormat="1" ht="25.5" customHeight="1">
      <c r="A54" s="214"/>
      <c r="B54" s="10" t="s">
        <v>620</v>
      </c>
      <c r="C54" s="226" t="s">
        <v>1131</v>
      </c>
      <c r="D54" s="226" t="s">
        <v>1131</v>
      </c>
      <c r="E54" s="226" t="s">
        <v>1131</v>
      </c>
      <c r="F54" s="226" t="s">
        <v>1131</v>
      </c>
      <c r="G54" s="226" t="s">
        <v>1131</v>
      </c>
      <c r="H54" s="226" t="s">
        <v>1131</v>
      </c>
      <c r="I54" s="226" t="s">
        <v>1131</v>
      </c>
      <c r="J54" s="226" t="s">
        <v>1131</v>
      </c>
      <c r="K54" s="45"/>
      <c r="O54" s="54"/>
      <c r="AC54"/>
      <c r="AD54"/>
      <c r="AE54"/>
      <c r="AF54"/>
      <c r="AG54"/>
      <c r="AH54"/>
      <c r="AI54"/>
      <c r="AJ54"/>
      <c r="AK54"/>
      <c r="AL54"/>
      <c r="AM54"/>
      <c r="AN54"/>
      <c r="AO54"/>
      <c r="AS54"/>
      <c r="AT54"/>
      <c r="AU54"/>
      <c r="AV54"/>
      <c r="AZ54" s="177"/>
    </row>
    <row r="55" spans="1:52" s="5" customFormat="1" ht="25.5" customHeight="1">
      <c r="A55" s="214"/>
      <c r="B55" s="10" t="s">
        <v>617</v>
      </c>
      <c r="C55" s="226" t="s">
        <v>1131</v>
      </c>
      <c r="D55" s="226" t="s">
        <v>1131</v>
      </c>
      <c r="E55" s="226" t="s">
        <v>1131</v>
      </c>
      <c r="F55" s="226" t="s">
        <v>1131</v>
      </c>
      <c r="G55" s="226" t="s">
        <v>1131</v>
      </c>
      <c r="H55" s="226" t="s">
        <v>1131</v>
      </c>
      <c r="I55" s="226" t="s">
        <v>1131</v>
      </c>
      <c r="J55" s="226" t="s">
        <v>1131</v>
      </c>
      <c r="K55" s="45"/>
      <c r="O55" s="54"/>
      <c r="AC55"/>
      <c r="AD55"/>
      <c r="AE55"/>
      <c r="AF55"/>
      <c r="AG55"/>
      <c r="AH55"/>
      <c r="AI55"/>
      <c r="AJ55"/>
      <c r="AK55"/>
      <c r="AL55"/>
      <c r="AM55"/>
      <c r="AN55"/>
      <c r="AO55"/>
      <c r="AS55"/>
      <c r="AT55"/>
      <c r="AU55"/>
      <c r="AV55"/>
      <c r="AZ55" s="177"/>
    </row>
    <row r="56" spans="1:52" s="5" customFormat="1" ht="25.5" customHeight="1">
      <c r="A56" s="214"/>
      <c r="B56" s="10" t="s">
        <v>621</v>
      </c>
      <c r="C56" s="226" t="s">
        <v>1131</v>
      </c>
      <c r="D56" s="226" t="s">
        <v>1131</v>
      </c>
      <c r="E56" s="226" t="s">
        <v>1131</v>
      </c>
      <c r="F56" s="226" t="s">
        <v>1131</v>
      </c>
      <c r="G56" s="226" t="s">
        <v>1131</v>
      </c>
      <c r="H56" s="226" t="s">
        <v>1131</v>
      </c>
      <c r="I56" s="226" t="s">
        <v>1131</v>
      </c>
      <c r="J56" s="226" t="s">
        <v>1131</v>
      </c>
      <c r="K56" s="45"/>
      <c r="O56" s="54"/>
      <c r="AC56"/>
      <c r="AD56"/>
      <c r="AE56"/>
      <c r="AF56"/>
      <c r="AG56"/>
      <c r="AH56"/>
      <c r="AI56"/>
      <c r="AJ56"/>
      <c r="AK56"/>
      <c r="AL56"/>
      <c r="AM56"/>
      <c r="AN56"/>
      <c r="AO56"/>
      <c r="AS56"/>
      <c r="AT56"/>
      <c r="AU56"/>
      <c r="AV56"/>
      <c r="AZ56" s="177"/>
    </row>
    <row r="57" spans="1:52" s="5" customFormat="1" ht="25.5" customHeight="1">
      <c r="A57" s="214"/>
      <c r="B57" s="10" t="s">
        <v>1181</v>
      </c>
      <c r="C57" s="226" t="s">
        <v>1131</v>
      </c>
      <c r="D57" s="226" t="s">
        <v>1131</v>
      </c>
      <c r="E57" s="226" t="s">
        <v>1131</v>
      </c>
      <c r="F57" s="226" t="s">
        <v>1131</v>
      </c>
      <c r="G57" s="226" t="s">
        <v>1131</v>
      </c>
      <c r="H57" s="226" t="s">
        <v>1131</v>
      </c>
      <c r="I57" s="226" t="s">
        <v>1131</v>
      </c>
      <c r="J57" s="226" t="s">
        <v>1131</v>
      </c>
      <c r="K57" s="45"/>
      <c r="O57" s="54"/>
      <c r="AC57"/>
      <c r="AD57"/>
      <c r="AE57"/>
      <c r="AF57"/>
      <c r="AG57"/>
      <c r="AH57"/>
      <c r="AI57"/>
      <c r="AJ57"/>
      <c r="AK57"/>
      <c r="AL57"/>
      <c r="AM57"/>
      <c r="AN57"/>
      <c r="AO57"/>
      <c r="AS57"/>
      <c r="AT57"/>
      <c r="AU57"/>
      <c r="AV57"/>
      <c r="AZ57" s="177"/>
    </row>
    <row r="58" spans="1:52" s="5" customFormat="1" ht="25.5" customHeight="1">
      <c r="A58" s="214"/>
      <c r="B58" s="10" t="s">
        <v>1182</v>
      </c>
      <c r="C58" s="226" t="s">
        <v>1131</v>
      </c>
      <c r="D58" s="226" t="s">
        <v>1131</v>
      </c>
      <c r="E58" s="226" t="s">
        <v>1131</v>
      </c>
      <c r="F58" s="226" t="s">
        <v>1131</v>
      </c>
      <c r="G58" s="226" t="s">
        <v>1131</v>
      </c>
      <c r="H58" s="226" t="s">
        <v>1131</v>
      </c>
      <c r="I58" s="226" t="s">
        <v>1131</v>
      </c>
      <c r="J58" s="226" t="s">
        <v>1131</v>
      </c>
      <c r="K58" s="45"/>
      <c r="O58" s="54"/>
      <c r="AC58"/>
      <c r="AD58"/>
      <c r="AE58"/>
      <c r="AF58"/>
      <c r="AG58"/>
      <c r="AH58"/>
      <c r="AI58"/>
      <c r="AJ58"/>
      <c r="AK58"/>
      <c r="AL58"/>
      <c r="AM58"/>
      <c r="AN58"/>
      <c r="AO58"/>
      <c r="AS58"/>
      <c r="AT58"/>
      <c r="AU58"/>
      <c r="AV58"/>
      <c r="AZ58" s="177"/>
    </row>
    <row r="59" spans="1:52" s="5" customFormat="1" ht="25.5" customHeight="1">
      <c r="A59" s="214"/>
      <c r="B59" s="10" t="s">
        <v>622</v>
      </c>
      <c r="C59" s="226" t="s">
        <v>1131</v>
      </c>
      <c r="D59" s="226" t="s">
        <v>1131</v>
      </c>
      <c r="E59" s="226" t="s">
        <v>1131</v>
      </c>
      <c r="F59" s="226" t="s">
        <v>1131</v>
      </c>
      <c r="G59" s="226" t="s">
        <v>1131</v>
      </c>
      <c r="H59" s="226" t="s">
        <v>1131</v>
      </c>
      <c r="I59" s="226" t="s">
        <v>1131</v>
      </c>
      <c r="J59" s="226" t="s">
        <v>1131</v>
      </c>
      <c r="K59" s="45"/>
      <c r="O59" s="54"/>
      <c r="AC59"/>
      <c r="AD59"/>
      <c r="AE59"/>
      <c r="AF59"/>
      <c r="AG59"/>
      <c r="AH59"/>
      <c r="AI59"/>
      <c r="AJ59"/>
      <c r="AK59"/>
      <c r="AL59"/>
      <c r="AM59"/>
      <c r="AN59"/>
      <c r="AO59"/>
      <c r="AS59"/>
      <c r="AT59"/>
      <c r="AU59"/>
      <c r="AV59"/>
      <c r="AW59" s="8"/>
      <c r="AZ59" s="177"/>
    </row>
    <row r="60" spans="1:52" s="5" customFormat="1" ht="25.5" customHeight="1">
      <c r="A60" s="214"/>
      <c r="B60" s="10" t="s">
        <v>623</v>
      </c>
      <c r="C60" s="226" t="s">
        <v>1131</v>
      </c>
      <c r="D60" s="226" t="s">
        <v>1131</v>
      </c>
      <c r="E60" s="226" t="s">
        <v>1131</v>
      </c>
      <c r="F60" s="226" t="s">
        <v>1131</v>
      </c>
      <c r="G60" s="226" t="s">
        <v>1131</v>
      </c>
      <c r="H60" s="226" t="s">
        <v>1131</v>
      </c>
      <c r="I60" s="226" t="s">
        <v>1131</v>
      </c>
      <c r="J60" s="226" t="s">
        <v>1131</v>
      </c>
      <c r="K60" s="45"/>
      <c r="O60" s="54"/>
      <c r="AC60"/>
      <c r="AD60"/>
      <c r="AE60"/>
      <c r="AF60"/>
      <c r="AG60"/>
      <c r="AH60"/>
      <c r="AI60"/>
      <c r="AJ60"/>
      <c r="AK60"/>
      <c r="AL60"/>
      <c r="AM60"/>
      <c r="AN60"/>
      <c r="AO60"/>
      <c r="AS60"/>
      <c r="AT60"/>
      <c r="AU60"/>
      <c r="AV60"/>
      <c r="AW60" s="78"/>
      <c r="AZ60" s="177"/>
    </row>
    <row r="61" spans="1:52" s="5" customFormat="1" ht="25.5" customHeight="1">
      <c r="A61" s="214"/>
      <c r="B61" s="10" t="s">
        <v>624</v>
      </c>
      <c r="C61" s="226" t="s">
        <v>1131</v>
      </c>
      <c r="D61" s="226" t="s">
        <v>1131</v>
      </c>
      <c r="E61" s="226" t="s">
        <v>1131</v>
      </c>
      <c r="F61" s="226" t="s">
        <v>1131</v>
      </c>
      <c r="G61" s="226" t="s">
        <v>1131</v>
      </c>
      <c r="H61" s="226" t="s">
        <v>1131</v>
      </c>
      <c r="I61" s="226" t="s">
        <v>1131</v>
      </c>
      <c r="J61" s="226" t="s">
        <v>1131</v>
      </c>
      <c r="K61" s="45"/>
      <c r="O61" s="54"/>
      <c r="AC61"/>
      <c r="AD61"/>
      <c r="AE61"/>
      <c r="AF61"/>
      <c r="AG61"/>
      <c r="AH61"/>
      <c r="AI61"/>
      <c r="AJ61"/>
      <c r="AK61"/>
      <c r="AL61"/>
      <c r="AM61"/>
      <c r="AN61"/>
      <c r="AO61"/>
      <c r="AS61"/>
      <c r="AT61"/>
      <c r="AU61"/>
      <c r="AV61"/>
      <c r="AW61" s="3"/>
      <c r="AZ61" s="177"/>
    </row>
    <row r="62" spans="1:52" s="5" customFormat="1" ht="25.5" customHeight="1">
      <c r="A62" s="214"/>
      <c r="B62" s="10" t="s">
        <v>625</v>
      </c>
      <c r="C62" s="226" t="s">
        <v>1131</v>
      </c>
      <c r="D62" s="226" t="s">
        <v>1131</v>
      </c>
      <c r="E62" s="226" t="s">
        <v>1131</v>
      </c>
      <c r="F62" s="226" t="s">
        <v>1131</v>
      </c>
      <c r="G62" s="226" t="s">
        <v>1131</v>
      </c>
      <c r="H62" s="226" t="s">
        <v>1131</v>
      </c>
      <c r="I62" s="226" t="s">
        <v>1131</v>
      </c>
      <c r="J62" s="226" t="s">
        <v>1131</v>
      </c>
      <c r="K62" s="45"/>
      <c r="O62" s="54"/>
      <c r="AC62"/>
      <c r="AD62"/>
      <c r="AE62"/>
      <c r="AF62"/>
      <c r="AG62"/>
      <c r="AH62"/>
      <c r="AI62"/>
      <c r="AJ62"/>
      <c r="AK62"/>
      <c r="AL62"/>
      <c r="AM62"/>
      <c r="AN62"/>
      <c r="AO62"/>
      <c r="AS62"/>
      <c r="AT62"/>
      <c r="AU62"/>
      <c r="AV62"/>
      <c r="AW62" s="3"/>
      <c r="AZ62" s="177"/>
    </row>
    <row r="63" spans="1:52" s="5" customFormat="1" ht="25.5" customHeight="1" thickBot="1">
      <c r="A63" s="214"/>
      <c r="B63" s="11" t="s">
        <v>587</v>
      </c>
      <c r="C63" s="226" t="s">
        <v>1131</v>
      </c>
      <c r="D63" s="226" t="s">
        <v>1131</v>
      </c>
      <c r="E63" s="226" t="s">
        <v>1131</v>
      </c>
      <c r="F63" s="226" t="s">
        <v>1131</v>
      </c>
      <c r="G63" s="226" t="s">
        <v>1131</v>
      </c>
      <c r="H63" s="226" t="s">
        <v>1131</v>
      </c>
      <c r="I63" s="226" t="s">
        <v>1131</v>
      </c>
      <c r="J63" s="226" t="s">
        <v>1131</v>
      </c>
      <c r="K63" s="45"/>
      <c r="O63" s="54"/>
      <c r="AC63"/>
      <c r="AD63"/>
      <c r="AE63"/>
      <c r="AF63"/>
      <c r="AG63"/>
      <c r="AH63"/>
      <c r="AI63"/>
      <c r="AJ63"/>
      <c r="AK63"/>
      <c r="AL63"/>
      <c r="AM63"/>
      <c r="AN63"/>
      <c r="AO63"/>
      <c r="AS63"/>
      <c r="AT63"/>
      <c r="AU63"/>
      <c r="AV63"/>
      <c r="AW63" s="3"/>
      <c r="AZ63" s="177"/>
    </row>
    <row r="64" spans="1:52" s="5" customFormat="1" ht="25.5" customHeight="1" thickBot="1">
      <c r="A64" s="214"/>
      <c r="B64" s="240" t="s">
        <v>1170</v>
      </c>
      <c r="C64" s="241">
        <f>SUM(C42:C63)</f>
        <v>0</v>
      </c>
      <c r="D64" s="241">
        <f t="shared" ref="D64:J64" si="5">SUM(D42:D63)</f>
        <v>0</v>
      </c>
      <c r="E64" s="241">
        <f t="shared" si="5"/>
        <v>0</v>
      </c>
      <c r="F64" s="241">
        <f t="shared" si="5"/>
        <v>0</v>
      </c>
      <c r="G64" s="241">
        <f t="shared" si="5"/>
        <v>0</v>
      </c>
      <c r="H64" s="241">
        <f t="shared" si="5"/>
        <v>0</v>
      </c>
      <c r="I64" s="241">
        <f t="shared" si="5"/>
        <v>0</v>
      </c>
      <c r="J64" s="241">
        <f t="shared" si="5"/>
        <v>0</v>
      </c>
      <c r="K64" s="45"/>
      <c r="O64" s="54"/>
      <c r="AC64"/>
      <c r="AD64"/>
      <c r="AE64"/>
      <c r="AF64"/>
      <c r="AG64"/>
      <c r="AH64"/>
      <c r="AI64"/>
      <c r="AJ64"/>
      <c r="AK64"/>
      <c r="AL64"/>
      <c r="AM64"/>
      <c r="AN64"/>
      <c r="AO64"/>
      <c r="AS64"/>
      <c r="AT64"/>
      <c r="AU64"/>
      <c r="AV64"/>
      <c r="AW64" s="3"/>
      <c r="AZ64" s="177"/>
    </row>
    <row r="65" spans="1:247" s="8" customFormat="1" ht="25.5" customHeight="1" thickBot="1">
      <c r="A65" s="216"/>
      <c r="B65" s="388" t="s">
        <v>589</v>
      </c>
      <c r="C65" s="389"/>
      <c r="D65" s="389"/>
      <c r="E65" s="389"/>
      <c r="F65" s="389"/>
      <c r="G65" s="389"/>
      <c r="H65" s="389"/>
      <c r="I65" s="389"/>
      <c r="J65" s="390"/>
      <c r="K65" s="45"/>
      <c r="O65" s="210"/>
      <c r="AC65"/>
      <c r="AD65"/>
      <c r="AE65"/>
      <c r="AF65"/>
      <c r="AG65"/>
      <c r="AH65"/>
      <c r="AI65"/>
      <c r="AJ65"/>
      <c r="AK65"/>
      <c r="AL65"/>
      <c r="AM65"/>
      <c r="AN65"/>
      <c r="AO65"/>
      <c r="AS65"/>
      <c r="AT65"/>
      <c r="AU65"/>
      <c r="AV65"/>
      <c r="AW65" s="3"/>
      <c r="AZ65" s="179"/>
    </row>
    <row r="66" spans="1:247" s="78" customFormat="1" ht="31.5" customHeight="1" thickTop="1" thickBot="1">
      <c r="A66" s="216"/>
      <c r="B66" s="238" t="str">
        <f>B41</f>
        <v>TIRAGEM:</v>
      </c>
      <c r="C66" s="239">
        <f>C41</f>
        <v>10000</v>
      </c>
      <c r="D66" s="239">
        <f t="shared" ref="D66:J66" si="6">D41</f>
        <v>10000</v>
      </c>
      <c r="E66" s="239">
        <f t="shared" si="6"/>
        <v>0</v>
      </c>
      <c r="F66" s="239">
        <f t="shared" si="6"/>
        <v>0</v>
      </c>
      <c r="G66" s="239">
        <f t="shared" si="6"/>
        <v>0</v>
      </c>
      <c r="H66" s="239">
        <f t="shared" si="6"/>
        <v>0</v>
      </c>
      <c r="I66" s="239">
        <f t="shared" si="6"/>
        <v>0</v>
      </c>
      <c r="J66" s="239">
        <f t="shared" si="6"/>
        <v>0</v>
      </c>
      <c r="K66" s="83"/>
      <c r="O66" s="211"/>
      <c r="AC66"/>
      <c r="AD66"/>
      <c r="AE66"/>
      <c r="AF66"/>
      <c r="AG66"/>
      <c r="AH66"/>
      <c r="AI66"/>
      <c r="AJ66"/>
      <c r="AK66"/>
      <c r="AL66"/>
      <c r="AM66"/>
      <c r="AN66"/>
      <c r="AO66"/>
      <c r="AS66"/>
      <c r="AT66"/>
      <c r="AU66"/>
      <c r="AV66"/>
      <c r="AW66" s="3"/>
    </row>
    <row r="67" spans="1:247" ht="31.5" customHeight="1" thickTop="1" thickBot="1">
      <c r="B67" s="12"/>
      <c r="C67" s="147"/>
      <c r="D67" s="147"/>
      <c r="E67" s="148"/>
      <c r="F67" s="148"/>
      <c r="G67" s="148"/>
      <c r="H67" s="148"/>
      <c r="I67" s="148"/>
      <c r="J67" s="148"/>
    </row>
    <row r="68" spans="1:247" ht="30.75" customHeight="1" thickBot="1">
      <c r="B68" s="65" t="s">
        <v>1194</v>
      </c>
      <c r="C68" s="248" t="str">
        <f>IF(ISERROR(VLOOKUP(LINHA_DE_PRODUTO_01,$L$3:$N$36,3,FALSE)),"0",VLOOKUP(LINHA_DE_PRODUTO_01,$L$3:$N$36,3,FALSE))</f>
        <v>0,30</v>
      </c>
      <c r="D68" s="248" t="str">
        <f>IF(ISERROR(VLOOKUP(LINHA_DE_PRODUTO_02,$L$3:$N$36,3,FALSE)),"0",VLOOKUP(LINHA_DE_PRODUTO_02,$L$3:$N$36,3,FALSE))</f>
        <v>0,30</v>
      </c>
      <c r="E68" s="248" t="str">
        <f>IF(ISERROR(VLOOKUP(LINHA_DE_PRODUTO_03,$L$3:$N$36,3,FALSE)),"0",VLOOKUP(LINHA_DE_PRODUTO_03,$L$3:$N$36,3,FALSE))</f>
        <v>0</v>
      </c>
      <c r="F68" s="248" t="str">
        <f>IF(ISERROR(VLOOKUP(LINHA_DE_PRODUTO_04,$L$3:$N$36,3,FALSE)),"0",VLOOKUP(LINHA_DE_PRODUTO_04,$L$3:$N$36,3,FALSE))</f>
        <v>0</v>
      </c>
      <c r="G68" s="248" t="str">
        <f>IF(ISERROR(VLOOKUP(LINHA_DE_PRODUTO_05,$L$3:$N$36,3,FALSE)),"0",VLOOKUP(LINHA_DE_PRODUTO_05,$L$3:$N$36,3,FALSE))</f>
        <v>0</v>
      </c>
      <c r="H68" s="248" t="str">
        <f>IF(ISERROR(VLOOKUP(LINHA_DE_PRODUTO_06,$L$3:$N$36,3,FALSE)),"0",VLOOKUP(LINHA_DE_PRODUTO_06,$L$3:$N$36,3,FALSE))</f>
        <v>0</v>
      </c>
      <c r="I68" s="248" t="str">
        <f>IF(ISERROR(VLOOKUP(LINHA_DE_PRODUTO_07,$L$3:$N$36,3,FALSE)),"0",VLOOKUP(LINHA_DE_PRODUTO_07,$L$3:$N$36,3,FALSE))</f>
        <v>0</v>
      </c>
      <c r="J68" s="248" t="str">
        <f>IF(ISERROR(VLOOKUP(LINHA_DE_PRODUTO_08,$L$3:$N$36,3,FALSE)),"0",VLOOKUP(LINHA_DE_PRODUTO_08,$L$3:$N$36,3,FALSE))</f>
        <v>0</v>
      </c>
    </row>
    <row r="69" spans="1:247" ht="30.75" customHeight="1" thickBot="1">
      <c r="B69" s="65" t="s">
        <v>1193</v>
      </c>
      <c r="C69" s="249">
        <f>PrecoDeCompras_01*MARGEM_MINIMA_01</f>
        <v>0</v>
      </c>
      <c r="D69" s="249">
        <f>PrecoDeCompras_02*MARGEM_MINIMA_02</f>
        <v>0</v>
      </c>
      <c r="E69" s="249">
        <f>PrecoDeCompras_03*MARGEM_MINIMA_03</f>
        <v>0</v>
      </c>
      <c r="F69" s="249">
        <f>PrecoDeCompras_04*MARGEM_MINIMA_04</f>
        <v>0</v>
      </c>
      <c r="G69" s="249">
        <f>PrecoDeCompras_05*MARGEM_MINIMA_05</f>
        <v>0</v>
      </c>
      <c r="H69" s="249">
        <f>PrecoDeCompras_06*MARGEM_MINIMA_06</f>
        <v>0</v>
      </c>
      <c r="I69" s="249">
        <f>PrecoDeCompras_07*MARGEM_MINIMA_07</f>
        <v>0</v>
      </c>
      <c r="J69" s="249">
        <f>PrecoDeCompras_08*MARGEM_MINIMA_08</f>
        <v>0</v>
      </c>
    </row>
    <row r="70" spans="1:247" ht="31.5" customHeight="1" thickBot="1">
      <c r="C70" s="149"/>
      <c r="D70" s="149"/>
      <c r="E70" s="150"/>
      <c r="F70" s="150"/>
      <c r="G70" s="151"/>
      <c r="H70" s="151"/>
      <c r="I70" s="151"/>
      <c r="J70" s="151"/>
    </row>
    <row r="71" spans="1:247" s="46" customFormat="1" ht="31.5" customHeight="1" thickTop="1" thickBot="1">
      <c r="A71" s="3"/>
      <c r="B71" s="271" t="s">
        <v>1331</v>
      </c>
      <c r="C71" s="272" t="s">
        <v>1131</v>
      </c>
      <c r="D71" s="272" t="s">
        <v>1131</v>
      </c>
      <c r="E71" s="272" t="s">
        <v>1131</v>
      </c>
      <c r="F71" s="272" t="s">
        <v>1131</v>
      </c>
      <c r="G71" s="272" t="s">
        <v>1131</v>
      </c>
      <c r="H71" s="272" t="s">
        <v>1131</v>
      </c>
      <c r="I71" s="272" t="s">
        <v>1131</v>
      </c>
      <c r="J71" s="273" t="s">
        <v>1131</v>
      </c>
      <c r="L71" s="3"/>
      <c r="M71" s="3"/>
      <c r="N71" s="3"/>
      <c r="O71" s="207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 s="3"/>
      <c r="AQ71" s="3"/>
      <c r="AR71" s="3"/>
      <c r="AS71"/>
      <c r="AT71"/>
      <c r="AU71"/>
      <c r="AV71"/>
      <c r="AW71" s="3"/>
      <c r="AX71" s="3"/>
      <c r="AY71" s="3"/>
      <c r="AZ71" s="181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</row>
    <row r="72" spans="1:247" s="46" customFormat="1" ht="31.5" customHeight="1">
      <c r="A72" s="3"/>
      <c r="B72" s="258" t="s">
        <v>1172</v>
      </c>
      <c r="C72" s="235">
        <f>IF(ISERROR(TIRAGEM_01*ValorUnitarioMKT_01),"0",TIRAGEM_01*ValorUnitarioMKT_01)</f>
        <v>0</v>
      </c>
      <c r="D72" s="235">
        <f>IF(ISERROR(TIRAGEM_02*ValorUnitarioMKT_02),"0",TIRAGEM_02*ValorUnitarioMKT_02)</f>
        <v>0</v>
      </c>
      <c r="E72" s="235">
        <f>IF(ISERROR(TIRAGEM_03*ValorUnitarioMKT_03),"0",TIRAGEM_03*ValorUnitarioMKT_03)</f>
        <v>0</v>
      </c>
      <c r="F72" s="235">
        <f>IF(ISERROR(TIRAGEM_04*ValorUnitarioMKT_04),"0",TIRAGEM_04*ValorUnitarioMKT_04)</f>
        <v>0</v>
      </c>
      <c r="G72" s="235">
        <f>IF(ISERROR(TIRAGEM_05*ValorUnitarioMKT_05),"0",TIRAGEM_05*ValorUnitarioMKT_05)</f>
        <v>0</v>
      </c>
      <c r="H72" s="235">
        <f>IF(ISERROR(TIRAGEM_06*ValorUnitarioMKT_06),"0",TIRAGEM_06*ValorUnitarioMKT_06)</f>
        <v>0</v>
      </c>
      <c r="I72" s="235">
        <f>IF(ISERROR(TIRAGEM_07*ValorUnitarioMKT_07),"0",TIRAGEM_07*ValorUnitarioMKT_07)</f>
        <v>0</v>
      </c>
      <c r="J72" s="274">
        <f>IF(ISERROR(TIRAGEM_08*ValorUnitarioMKT_08),"0",TIRAGEM_08*ValorUnitarioMKT_08)</f>
        <v>0</v>
      </c>
      <c r="L72" s="3"/>
      <c r="M72" s="3"/>
      <c r="N72" s="3"/>
      <c r="O72" s="207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 s="3"/>
      <c r="AQ72" s="3"/>
      <c r="AR72" s="3"/>
      <c r="AS72"/>
      <c r="AT72"/>
      <c r="AU72"/>
      <c r="AV72"/>
      <c r="AW72" s="3"/>
      <c r="AX72" s="3"/>
      <c r="AY72" s="3"/>
      <c r="AZ72" s="181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</row>
    <row r="73" spans="1:247" s="46" customFormat="1" ht="31.5" customHeight="1">
      <c r="A73" s="3"/>
      <c r="B73" s="260" t="s">
        <v>1179</v>
      </c>
      <c r="C73" s="236">
        <f>IF(ISERROR(PrecoMKT_01/TIRAGEM_01),"0",PrecoMKT_01/TIRAGEM_01)</f>
        <v>0</v>
      </c>
      <c r="D73" s="236">
        <f>IF(ISERROR(PrecoMKT_02/TIRAGEM_02),"0",PrecoMKT_02/TIRAGEM_02)</f>
        <v>0</v>
      </c>
      <c r="E73" s="236" t="str">
        <f>IF(ISERROR(PrecoMKT_03/TIRAGEM_03),"0",PrecoMKT_03/TIRAGEM_03)</f>
        <v>0</v>
      </c>
      <c r="F73" s="236" t="str">
        <f>IF(ISERROR(PrecoMKT_04/TIRAGEM_04),"0",PrecoMKT_04/TIRAGEM_04)</f>
        <v>0</v>
      </c>
      <c r="G73" s="236" t="str">
        <f>IF(ISERROR(PrecoMKT_05/TIRAGEM_05),"0",PrecoMKT_05/TIRAGEM_05)</f>
        <v>0</v>
      </c>
      <c r="H73" s="236" t="str">
        <f>IF(ISERROR(PrecoMKT_06/TIRAGEM_06),"0",PrecoMKT_06/TIRAGEM_06)</f>
        <v>0</v>
      </c>
      <c r="I73" s="236" t="str">
        <f>IF(ISERROR(PrecoMKT_07/TIRAGEM_07),"0",PrecoMKT_07/TIRAGEM_07)</f>
        <v>0</v>
      </c>
      <c r="J73" s="275" t="str">
        <f>IF(ISERROR(PrecoMKT_08/TIRAGEM_08),"0",PrecoMKT_08/TIRAGEM_08)</f>
        <v>0</v>
      </c>
      <c r="L73" s="3"/>
      <c r="M73" s="3"/>
      <c r="N73" s="3"/>
      <c r="O73" s="207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 s="3"/>
      <c r="AQ73" s="3"/>
      <c r="AR73" s="3"/>
      <c r="AS73"/>
      <c r="AT73"/>
      <c r="AU73"/>
      <c r="AV73"/>
      <c r="AW73" s="3"/>
      <c r="AX73" s="3"/>
      <c r="AY73" s="3"/>
      <c r="AZ73" s="181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</row>
    <row r="74" spans="1:247" s="46" customFormat="1" ht="31.5" customHeight="1">
      <c r="A74" s="3"/>
      <c r="B74" s="260" t="s">
        <v>1180</v>
      </c>
      <c r="C74" s="237" t="str">
        <f>IF(ISERROR(MargemBrutaMKT_01/PrecoMKT_01),"0",MargemBrutaMKT_01/PrecoMKT_01)</f>
        <v>0</v>
      </c>
      <c r="D74" s="237" t="str">
        <f>IF(ISERROR(MargemBrutaMKT_02/PrecoMKT_02),"0",MargemBrutaMKT_02/PrecoMKT_02)</f>
        <v>0</v>
      </c>
      <c r="E74" s="237" t="str">
        <f>IF(ISERROR(MargemBrutaMKT_03/PrecoMKT_03),"0",MargemBrutaMKT_03/PrecoMKT_03)</f>
        <v>0</v>
      </c>
      <c r="F74" s="237" t="str">
        <f>IF(ISERROR(MargemBrutaMKT_04/PrecoMKT_04),"0",MargemBrutaMKT_04/PrecoMKT_04)</f>
        <v>0</v>
      </c>
      <c r="G74" s="237" t="str">
        <f>IF(ISERROR(MargemBrutaMKT_05/PrecoMKT_05),"0",MargemBrutaMKT_05/PrecoMKT_05)</f>
        <v>0</v>
      </c>
      <c r="H74" s="237" t="str">
        <f>IF(ISERROR(MargemBrutaMKT_06/PrecoMKT_06),"0",MargemBrutaMKT_06/PrecoMKT_06)</f>
        <v>0</v>
      </c>
      <c r="I74" s="237" t="str">
        <f>IF(ISERROR(MargemBrutaMKT_07/PrecoMKT_07),"0",MargemBrutaMKT_07/PrecoMKT_07)</f>
        <v>0</v>
      </c>
      <c r="J74" s="276" t="str">
        <f>IF(ISERROR(MargemBrutaMKT_08/PrecoMKT_08),"0",MargemBrutaMKT_08/PrecoMKT_08)</f>
        <v>0</v>
      </c>
      <c r="L74" s="3"/>
      <c r="M74" s="3"/>
      <c r="N74" s="3"/>
      <c r="O74" s="207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 s="3"/>
      <c r="AQ74" s="3"/>
      <c r="AR74" s="3"/>
      <c r="AS74"/>
      <c r="AT74"/>
      <c r="AU74"/>
      <c r="AV74"/>
      <c r="AW74" s="3"/>
      <c r="AX74" s="3"/>
      <c r="AY74" s="3"/>
      <c r="AZ74" s="181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</row>
    <row r="75" spans="1:247" s="46" customFormat="1" ht="31.5" customHeight="1">
      <c r="A75" s="3"/>
      <c r="B75" s="260" t="s">
        <v>1177</v>
      </c>
      <c r="C75" s="236">
        <f>IF(ISERROR(PrecoMKT_01-SomaCustos_01),"0",PrecoMKT_01-SomaCustos_01)</f>
        <v>0</v>
      </c>
      <c r="D75" s="236">
        <f>IF(ISERROR(PrecoMKT_02-SomaCustos_02),"0",PrecoMKT_02-SomaCustos_02)</f>
        <v>0</v>
      </c>
      <c r="E75" s="236">
        <f>IF(ISERROR(PrecoMKT_03-SomaCustos_03),"0",PrecoMKT_03-SomaCustos_03)</f>
        <v>0</v>
      </c>
      <c r="F75" s="236">
        <f>IF(ISERROR(PrecoMKT_04-SomaCustos_04),"0",PrecoMKT_04-SomaCustos_04)</f>
        <v>0</v>
      </c>
      <c r="G75" s="236">
        <f>IF(ISERROR(PrecoMKT_05-SomaCustos_05),"0",PrecoMKT_05-SomaCustos_05)</f>
        <v>0</v>
      </c>
      <c r="H75" s="236">
        <f>IF(ISERROR(PrecoMKT_06-SomaCustos_06),"0",PrecoMKT_06-SomaCustos_06)</f>
        <v>0</v>
      </c>
      <c r="I75" s="236">
        <f>IF(ISERROR(PrecoMKT_07-SomaCustos_07),"0",PrecoMKT_07-SomaCustos_07)</f>
        <v>0</v>
      </c>
      <c r="J75" s="275">
        <f>IF(ISERROR(PrecoMKT_08-SomaCustos_08),"0",PrecoMKT_08-SomaCustos_08)</f>
        <v>0</v>
      </c>
      <c r="L75" s="3"/>
      <c r="M75" s="3"/>
      <c r="N75" s="3"/>
      <c r="O75" s="207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 s="3"/>
      <c r="AQ75" s="3"/>
      <c r="AR75" s="3"/>
      <c r="AS75"/>
      <c r="AT75"/>
      <c r="AU75"/>
      <c r="AV75"/>
      <c r="AW75" s="3"/>
      <c r="AX75" s="3"/>
      <c r="AY75" s="3"/>
      <c r="AZ75" s="181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</row>
    <row r="76" spans="1:247" s="46" customFormat="1" ht="31.5" customHeight="1" thickBot="1">
      <c r="A76" s="3"/>
      <c r="B76" s="263"/>
      <c r="C76" s="149"/>
      <c r="D76" s="149"/>
      <c r="E76" s="150"/>
      <c r="F76" s="150"/>
      <c r="G76" s="150"/>
      <c r="H76" s="150"/>
      <c r="I76" s="150"/>
      <c r="J76" s="277"/>
      <c r="L76" s="3"/>
      <c r="M76" s="3"/>
      <c r="N76" s="3"/>
      <c r="O76" s="207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 s="3"/>
      <c r="AQ76" s="3"/>
      <c r="AR76" s="3"/>
      <c r="AS76"/>
      <c r="AT76"/>
      <c r="AU76"/>
      <c r="AV76"/>
      <c r="AW76" s="3"/>
      <c r="AX76" s="3"/>
      <c r="AY76" s="3"/>
      <c r="AZ76" s="181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</row>
    <row r="77" spans="1:247" ht="31.5" customHeight="1">
      <c r="B77" s="265" t="s">
        <v>1329</v>
      </c>
      <c r="C77" s="233">
        <f>IF(C15="PRODUTO",IF(ISERROR(+PrecoMKT_01/PRODUTO),"",+PrecoMKT_01/PRODUTO),IF(ISERROR(+PrecoMKT_01/SERVICO),"",+PrecoMKT_01/SERVICO))</f>
        <v>0</v>
      </c>
      <c r="D77" s="233">
        <f>IF(D15="PRODUTO",IF(ISERROR(+PrecoMKT_02/PRODUTO),"",+PrecoMKT_02/PRODUTO),IF(ISERROR(+PrecoMKT_02/SERVICO),"",+PrecoMKT_02/SERVICO))</f>
        <v>0</v>
      </c>
      <c r="E77" s="233">
        <f>IF(E15="PRODUTO",IF(ISERROR(+PrecoMKT_03/PRODUTO),"",+PrecoMKT_03/PRODUTO),IF(ISERROR(+PrecoMKT_03/SERVICO),"",+PrecoMKT_03/SERVICO))</f>
        <v>0</v>
      </c>
      <c r="F77" s="233">
        <f>IF(F15="PRODUTO",IF(ISERROR(+PrecoMKT_04/PRODUTO),"",+PrecoMKT_04/PRODUTO),IF(ISERROR(+PrecoMKT_04/SERVICO),"",+PrecoMKT_04/SERVICO))</f>
        <v>0</v>
      </c>
      <c r="G77" s="233">
        <f>IF(G15="PRODUTO",IF(ISERROR(+PrecoMKT_05/PRODUTO),"",+PrecoMKT_05/PRODUTO),IF(ISERROR(+PrecoMKT_05/SERVICO),"",+PrecoMKT_05/SERVICO))</f>
        <v>0</v>
      </c>
      <c r="H77" s="233">
        <f>IF(H15="PRODUTO",IF(ISERROR(+PrecoMKT_06/PRODUTO),"",+PrecoMKT_06/PRODUTO),IF(ISERROR(+PrecoMKT_06/SERVICO),"",+PrecoMKT_06/SERVICO))</f>
        <v>0</v>
      </c>
      <c r="I77" s="233">
        <f>IF(I15="PRODUTO",IF(ISERROR(+PrecoMKT_07/PRODUTO),"",+PrecoMKT_07/PRODUTO),IF(ISERROR(+PrecoMKT_07/SERVICO),"",+PrecoMKT_07/SERVICO))</f>
        <v>0</v>
      </c>
      <c r="J77" s="278">
        <f>IF(J15="PRODUTO",IF(ISERROR(+PrecoMKT_08/PRODUTO),"",+PrecoMKT_08/PRODUTO),IF(ISERROR(+PrecoMKT_08/SERVICO),"",+PrecoMKT_08/SERVICO))</f>
        <v>0</v>
      </c>
    </row>
    <row r="78" spans="1:247" ht="31.5" customHeight="1">
      <c r="B78" s="260" t="s">
        <v>1188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0</v>
      </c>
      <c r="I78" s="200">
        <v>0</v>
      </c>
      <c r="J78" s="267">
        <v>0</v>
      </c>
    </row>
    <row r="79" spans="1:247" ht="31.5" customHeight="1" thickBot="1">
      <c r="B79" s="279" t="s">
        <v>1187</v>
      </c>
      <c r="C79" s="234">
        <f>IF(ISERROR(+ARREDONDAMENT0_01/TIRAGEM_01),"0",+ARREDONDAMENT0_01/TIRAGEM_01)</f>
        <v>0</v>
      </c>
      <c r="D79" s="234">
        <f>IF(ISERROR(+ARREDONDAMENT0_02/TIRAGEM_02),"0",+ARREDONDAMENT0_02/TIRAGEM_02)</f>
        <v>0</v>
      </c>
      <c r="E79" s="234" t="str">
        <f>IF(ISERROR(+ARREDONDAMENT0_03/TIRAGEM_03),"0",+ARREDONDAMENT0_03/TIRAGEM_03)</f>
        <v>0</v>
      </c>
      <c r="F79" s="234" t="str">
        <f>IF(ISERROR(+ARREDONDAMENT0_04/TIRAGEM_04),"0",+ARREDONDAMENT0_04/TIRAGEM_04)</f>
        <v>0</v>
      </c>
      <c r="G79" s="234" t="str">
        <f>IF(ISERROR(+ARREDONDAMENT0_05/TIRAGEM_05),"0",+ARREDONDAMENT0_05/TIRAGEM_05)</f>
        <v>0</v>
      </c>
      <c r="H79" s="234" t="str">
        <f>IF(ISERROR(+ARREDONDAMENT0_06/TIRAGEM_06),"0",+ARREDONDAMENT0_06/TIRAGEM_06)</f>
        <v>0</v>
      </c>
      <c r="I79" s="234" t="str">
        <f>IF(ISERROR(+ARREDONDAMENT0_07/TIRAGEM_07),"0",+ARREDONDAMENT0_07/TIRAGEM_07)</f>
        <v>0</v>
      </c>
      <c r="J79" s="280" t="str">
        <f>IF(ISERROR(+ARREDONDAMENT0_08/TIRAGEM_08),"0",+ARREDONDAMENT0_08/TIRAGEM_08)</f>
        <v>0</v>
      </c>
    </row>
    <row r="80" spans="1:247" s="46" customFormat="1" ht="31.5" customHeight="1">
      <c r="A80" s="3"/>
      <c r="B80" s="263"/>
      <c r="C80" s="149"/>
      <c r="D80" s="149"/>
      <c r="E80" s="150"/>
      <c r="F80" s="150"/>
      <c r="G80" s="150"/>
      <c r="H80" s="150"/>
      <c r="I80" s="150"/>
      <c r="J80" s="277"/>
      <c r="L80" s="3"/>
      <c r="M80" s="3"/>
      <c r="N80" s="3"/>
      <c r="O80" s="207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 s="3"/>
      <c r="AQ80" s="3"/>
      <c r="AR80" s="3"/>
      <c r="AS80"/>
      <c r="AT80"/>
      <c r="AU80"/>
      <c r="AV80"/>
      <c r="AW80" s="3"/>
      <c r="AX80" s="3"/>
      <c r="AY80" s="3"/>
      <c r="AZ80" s="181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</row>
    <row r="81" spans="1:247" ht="31.5" customHeight="1" thickBot="1">
      <c r="B81" s="268" t="s">
        <v>1192</v>
      </c>
      <c r="C81" s="281">
        <f>IF(ISERROR(PRECO_VENDA_GROSS_01*FASCICULOS_01),"",PRECO_VENDA_GROSS_01*FASCICULOS_01)</f>
        <v>0</v>
      </c>
      <c r="D81" s="281">
        <f>IF(ISERROR(PRECO_VENDA_GROSS_02*FASCICULOS_02),"",PRECO_VENDA_GROSS_02*FASCICULOS_02)</f>
        <v>0</v>
      </c>
      <c r="E81" s="281">
        <f>IF(ISERROR(PRECO_VENDA_GROSS_03*FASCICULOS_03),"",PRECO_VENDA_GROSS_03*FASCICULOS_03)</f>
        <v>0</v>
      </c>
      <c r="F81" s="281">
        <f>IF(ISERROR(PRECO_VENDA_GROSS_04*FASCICULOS_04),"",PRECO_VENDA_GROSS_04*FASCICULOS_04)</f>
        <v>0</v>
      </c>
      <c r="G81" s="281">
        <f>IF(ISERROR(PRECO_VENDA_GROSS_05*FASCICULOS_05),"",PRECO_VENDA_GROSS_05*FASCICULOS_05)</f>
        <v>0</v>
      </c>
      <c r="H81" s="281">
        <f>IF(ISERROR(PRECO_VENDA_GROSS_06*FASCICULOS_06),"",PRECO_VENDA_GROSS_06*FASCICULOS_06)</f>
        <v>0</v>
      </c>
      <c r="I81" s="281">
        <f>IF(ISERROR(PRECO_VENDA_GROSS_07*FASCICULOS_07),"",PRECO_VENDA_GROSS_07*FASCICULOS_07)</f>
        <v>0</v>
      </c>
      <c r="J81" s="282">
        <f>IF(ISERROR(PRECO_VENDA_GROSS_08*FASCICULOS_08),"",PRECO_VENDA_GROSS_08*FASCICULOS_08)</f>
        <v>0</v>
      </c>
    </row>
    <row r="82" spans="1:247" s="46" customFormat="1" ht="31.5" customHeight="1" thickTop="1">
      <c r="A82" s="3"/>
      <c r="B82" s="3"/>
      <c r="C82" s="149"/>
      <c r="D82" s="149"/>
      <c r="E82" s="150"/>
      <c r="F82" s="150"/>
      <c r="G82" s="151"/>
      <c r="H82" s="151"/>
      <c r="I82" s="151"/>
      <c r="J82" s="151"/>
      <c r="L82" s="3"/>
      <c r="M82" s="3"/>
      <c r="N82" s="3"/>
      <c r="O82" s="207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 s="3"/>
      <c r="AQ82" s="3"/>
      <c r="AR82" s="3"/>
      <c r="AS82"/>
      <c r="AT82"/>
      <c r="AU82"/>
      <c r="AV82"/>
      <c r="AW82" s="3"/>
      <c r="AX82" s="3"/>
      <c r="AY82" s="3"/>
      <c r="AZ82" s="181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</row>
    <row r="83" spans="1:247" s="46" customFormat="1" ht="31.5" customHeight="1" thickBot="1">
      <c r="A83" s="3"/>
      <c r="B83" s="3"/>
      <c r="C83" s="149"/>
      <c r="D83" s="149"/>
      <c r="E83" s="150"/>
      <c r="F83" s="150"/>
      <c r="G83" s="151"/>
      <c r="H83" s="151"/>
      <c r="I83" s="151"/>
      <c r="J83" s="151"/>
      <c r="L83" s="3"/>
      <c r="M83" s="3"/>
      <c r="N83" s="3"/>
      <c r="O83" s="207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 s="3"/>
      <c r="AQ83" s="3"/>
      <c r="AR83" s="3"/>
      <c r="AS83"/>
      <c r="AT83"/>
      <c r="AU83"/>
      <c r="AV83"/>
      <c r="AW83" s="3"/>
      <c r="AX83" s="3"/>
      <c r="AY83" s="3"/>
      <c r="AZ83" s="181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</row>
    <row r="84" spans="1:247" s="46" customFormat="1" ht="30.75" customHeight="1" thickTop="1" thickBot="1">
      <c r="A84" s="3"/>
      <c r="B84" s="251" t="s">
        <v>1171</v>
      </c>
      <c r="C84" s="252" t="s">
        <v>1183</v>
      </c>
      <c r="D84" s="252" t="s">
        <v>1183</v>
      </c>
      <c r="E84" s="252" t="s">
        <v>1183</v>
      </c>
      <c r="F84" s="252" t="s">
        <v>1183</v>
      </c>
      <c r="G84" s="252" t="s">
        <v>1183</v>
      </c>
      <c r="H84" s="252" t="s">
        <v>1183</v>
      </c>
      <c r="I84" s="252" t="s">
        <v>1183</v>
      </c>
      <c r="J84" s="253" t="s">
        <v>1183</v>
      </c>
      <c r="L84" s="3"/>
      <c r="M84" s="3"/>
      <c r="N84" s="3"/>
      <c r="O84" s="207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 s="3"/>
      <c r="AQ84" s="3"/>
      <c r="AR84" s="3"/>
      <c r="AS84"/>
      <c r="AT84"/>
      <c r="AU84"/>
      <c r="AV84"/>
      <c r="AW84" s="3"/>
      <c r="AX84" s="3"/>
      <c r="AY84" s="3"/>
      <c r="AZ84" s="181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</row>
    <row r="85" spans="1:247" s="46" customFormat="1" ht="30.75" customHeight="1" thickBot="1">
      <c r="A85" s="3"/>
      <c r="B85" s="254" t="s">
        <v>1332</v>
      </c>
      <c r="C85" s="232">
        <f>IF(ISERROR(PrecoMKT_01*(100%-DescontoPadrao_01)),"0",PrecoMKT_01*(100%-DescontoPadrao_01))</f>
        <v>0</v>
      </c>
      <c r="D85" s="232">
        <f>IF(ISERROR(PrecoMKT_02*(100%-DescontoPadrao_02)),"0",PrecoMKT_02*(100%-DescontoPadrao_02))</f>
        <v>0</v>
      </c>
      <c r="E85" s="232">
        <f>IF(ISERROR(PrecoMKT_03*(100%-DescontoPadrao_03)),"0",PrecoMKT_03*(100%-DescontoPadrao_03))</f>
        <v>0</v>
      </c>
      <c r="F85" s="232">
        <f>IF(ISERROR(PrecoMKT_04*(100%-DescontoPadrao_04)),"0",PrecoMKT_04*(100%-DescontoPadrao_04))</f>
        <v>0</v>
      </c>
      <c r="G85" s="232">
        <f>IF(ISERROR(PrecoMKT_05*(100%-DescontoPadrao_05)),"0",PrecoMKT_05*(100%-DescontoPadrao_05))</f>
        <v>0</v>
      </c>
      <c r="H85" s="232">
        <f>IF(ISERROR(PrecoMKT_06*(100%-DescontoPadrao_06)),"0",PrecoMKT_06*(100%-DescontoPadrao_06))</f>
        <v>0</v>
      </c>
      <c r="I85" s="232">
        <f>IF(ISERROR(PrecoMKT_07*(100%-DescontoPadrao_07)),"0",PrecoMKT_07*(100%-DescontoPadrao_07))</f>
        <v>0</v>
      </c>
      <c r="J85" s="255">
        <f>IF(ISERROR(PrecoMKT_08*(100%-DescontoPadrao_08)),"0",PrecoMKT_08*(100%-DescontoPadrao_08))</f>
        <v>0</v>
      </c>
      <c r="L85" s="3"/>
      <c r="M85" s="3"/>
      <c r="N85" s="3"/>
      <c r="O85" s="207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 s="3"/>
      <c r="AQ85" s="3"/>
      <c r="AR85" s="3"/>
      <c r="AS85"/>
      <c r="AT85"/>
      <c r="AU85"/>
      <c r="AV85"/>
      <c r="AW85" s="3"/>
      <c r="AX85" s="3"/>
      <c r="AY85" s="3"/>
      <c r="AZ85" s="181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</row>
    <row r="86" spans="1:247" s="46" customFormat="1" ht="30.75" customHeight="1" thickBot="1">
      <c r="A86" s="3"/>
      <c r="B86" s="256" t="s">
        <v>1172</v>
      </c>
      <c r="C86" s="184" t="s">
        <v>1131</v>
      </c>
      <c r="D86" s="184" t="s">
        <v>1131</v>
      </c>
      <c r="E86" s="184" t="s">
        <v>1131</v>
      </c>
      <c r="F86" s="184" t="s">
        <v>1131</v>
      </c>
      <c r="G86" s="184" t="s">
        <v>1131</v>
      </c>
      <c r="H86" s="184" t="s">
        <v>1131</v>
      </c>
      <c r="I86" s="184" t="s">
        <v>1131</v>
      </c>
      <c r="J86" s="257" t="s">
        <v>1131</v>
      </c>
      <c r="L86" s="3"/>
      <c r="M86" s="3"/>
      <c r="N86" s="3"/>
      <c r="O86" s="207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 s="3"/>
      <c r="AQ86" s="3"/>
      <c r="AR86" s="3"/>
      <c r="AS86"/>
      <c r="AT86"/>
      <c r="AU86"/>
      <c r="AV86"/>
      <c r="AW86" s="3"/>
      <c r="AX86" s="3"/>
      <c r="AY86" s="3"/>
      <c r="AZ86" s="181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</row>
    <row r="87" spans="1:247" s="46" customFormat="1" ht="30.75" customHeight="1">
      <c r="A87" s="3"/>
      <c r="B87" s="258" t="s">
        <v>1174</v>
      </c>
      <c r="C87" s="229" t="str">
        <f>IF(ISERROR(+(PrecoDeCompras_01-SomaCustos_01)/PrecoDeCompras_01),"0",+(PrecoDeCompras_01-SomaCustos_01)/PrecoDeCompras_01)</f>
        <v>0</v>
      </c>
      <c r="D87" s="229" t="str">
        <f>IF(ISERROR(+(PrecoDeCompras_02-SomaCustos_02)/PrecoDeCompras_02),"0",+(PrecoDeCompras_02-SomaCustos_02)/PrecoDeCompras_02)</f>
        <v>0</v>
      </c>
      <c r="E87" s="229" t="str">
        <f>IF(ISERROR(+(PrecoDeCompras_03-SomaCustos_03)/PrecoDeCompras_03),"0",+(PrecoDeCompras_03-SomaCustos_03)/PrecoDeCompras_03)</f>
        <v>0</v>
      </c>
      <c r="F87" s="229" t="str">
        <f>IF(ISERROR(+(PrecoDeCompras_04-SomaCustos_04)/PrecoDeCompras_04),"0",+(PrecoDeCompras_04-SomaCustos_04)/PrecoDeCompras_04)</f>
        <v>0</v>
      </c>
      <c r="G87" s="229" t="str">
        <f>IF(ISERROR(+(PrecoDeCompras_05-SomaCustos_05)/PrecoDeCompras_05),"0",+(PrecoDeCompras_05-SomaCustos_05)/PrecoDeCompras_05)</f>
        <v>0</v>
      </c>
      <c r="H87" s="229" t="str">
        <f>IF(ISERROR(+(PrecoDeCompras_06-SomaCustos_06)/PrecoDeCompras_06),"0",+(PrecoDeCompras_06-SomaCustos_06)/PrecoDeCompras_06)</f>
        <v>0</v>
      </c>
      <c r="I87" s="229" t="str">
        <f>IF(ISERROR(+(PrecoDeCompras_07-SomaCustos_07)/PrecoDeCompras_07),"0",+(PrecoDeCompras_07-SomaCustos_07)/PrecoDeCompras_07)</f>
        <v>0</v>
      </c>
      <c r="J87" s="259" t="str">
        <f>IF(ISERROR(+(PrecoDeCompras_08-SomaCustos_08)/PrecoDeCompras_08),"0",+(PrecoDeCompras_08-SomaCustos_08)/PrecoDeCompras_08)</f>
        <v>0</v>
      </c>
      <c r="L87" s="3"/>
      <c r="M87" s="3"/>
      <c r="N87" s="3"/>
      <c r="O87" s="20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 s="3"/>
      <c r="AQ87" s="3"/>
      <c r="AR87" s="3"/>
      <c r="AS87"/>
      <c r="AT87"/>
      <c r="AU87"/>
      <c r="AV87"/>
      <c r="AW87" s="3"/>
      <c r="AX87" s="3"/>
      <c r="AY87" s="3"/>
      <c r="AZ87" s="181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</row>
    <row r="88" spans="1:247" s="46" customFormat="1" ht="30.75" customHeight="1">
      <c r="A88" s="3"/>
      <c r="B88" s="260" t="s">
        <v>1175</v>
      </c>
      <c r="C88" s="230">
        <f>IF(ISERROR(PrecoDeCompras_01/TIRAGEM_01),"0",PrecoDeCompras_01/TIRAGEM_01)</f>
        <v>0</v>
      </c>
      <c r="D88" s="230">
        <f>IF(ISERROR(PrecoDeCompras_02/TIRAGEM_02),"0",PrecoDeCompras_02/TIRAGEM_02)</f>
        <v>0</v>
      </c>
      <c r="E88" s="230" t="str">
        <f>IF(ISERROR(PrecoDeCompras_03/TIRAGEM_03),"0",PrecoDeCompras_03/TIRAGEM_03)</f>
        <v>0</v>
      </c>
      <c r="F88" s="230" t="str">
        <f>IF(ISERROR(PrecoDeCompras_04/TIRAGEM_04),"0",PrecoDeCompras_04/TIRAGEM_04)</f>
        <v>0</v>
      </c>
      <c r="G88" s="230" t="str">
        <f>IF(ISERROR(PrecoDeCompras_05/TIRAGEM_05),"0",PrecoDeCompras_05/TIRAGEM_05)</f>
        <v>0</v>
      </c>
      <c r="H88" s="230" t="str">
        <f>IF(ISERROR(PrecoDeCompras_06/TIRAGEM_06),"0",PrecoDeCompras_06/TIRAGEM_06)</f>
        <v>0</v>
      </c>
      <c r="I88" s="230" t="str">
        <f>IF(ISERROR(PrecoDeCompras_07/TIRAGEM_07),"0",PrecoDeCompras_07/TIRAGEM_07)</f>
        <v>0</v>
      </c>
      <c r="J88" s="261" t="str">
        <f>IF(ISERROR(PrecoDeCompras_08/TIRAGEM_08),"0",PrecoDeCompras_08/TIRAGEM_08)</f>
        <v>0</v>
      </c>
      <c r="L88" s="3"/>
      <c r="M88" s="3"/>
      <c r="N88" s="3"/>
      <c r="O88" s="207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 s="3"/>
      <c r="AQ88" s="3"/>
      <c r="AR88" s="3"/>
      <c r="AS88"/>
      <c r="AT88"/>
      <c r="AU88"/>
      <c r="AV88"/>
      <c r="AW88" s="3"/>
      <c r="AX88" s="3"/>
      <c r="AY88" s="3"/>
      <c r="AZ88" s="181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</row>
    <row r="89" spans="1:247" s="46" customFormat="1" ht="30.75" customHeight="1">
      <c r="A89" s="3"/>
      <c r="B89" s="260" t="s">
        <v>1176</v>
      </c>
      <c r="C89" s="231" t="str">
        <f>IF(ISERROR(+(PrecoDeCompras_01/PrecoMKT_01)-1),"0",+(PrecoDeCompras_01/PrecoMKT_01)-1)</f>
        <v>0</v>
      </c>
      <c r="D89" s="231" t="str">
        <f>IF(ISERROR(+(PrecoDeCompras_02/PrecoMKT_02)-1),"0",+(PrecoDeCompras_02/PrecoMKT_02)-1)</f>
        <v>0</v>
      </c>
      <c r="E89" s="231" t="str">
        <f>IF(ISERROR(+(PrecoDeCompras_03/PrecoMKT_03)-1),"0",+(PrecoDeCompras_03/PrecoMKT_03)-1)</f>
        <v>0</v>
      </c>
      <c r="F89" s="231" t="str">
        <f>IF(ISERROR(+(PrecoDeCompras_04/PrecoMKT_04)-1),"0",+(PrecoDeCompras_04/PrecoMKT_04)-1)</f>
        <v>0</v>
      </c>
      <c r="G89" s="231" t="str">
        <f>IF(ISERROR(+(PrecoDeCompras_05/PrecoMKT_05)-1),"0",+(PrecoDeCompras_05/PrecoMKT_05)-1)</f>
        <v>0</v>
      </c>
      <c r="H89" s="231" t="str">
        <f>IF(ISERROR(+(PrecoDeCompras_06/PrecoMKT_06)-1),"0",+(PrecoDeCompras_06/PrecoMKT_06)-1)</f>
        <v>0</v>
      </c>
      <c r="I89" s="231" t="str">
        <f>IF(ISERROR(+(PrecoDeCompras_07/PrecoMKT_07)-1),"0",+(PrecoDeCompras_07/PrecoMKT_07)-1)</f>
        <v>0</v>
      </c>
      <c r="J89" s="262" t="str">
        <f>IF(ISERROR(+(PrecoDeCompras_08/PrecoMKT_08)-1),"0",+(PrecoDeCompras_08/PrecoMKT_08)-1)</f>
        <v>0</v>
      </c>
      <c r="L89" s="3"/>
      <c r="M89" s="3"/>
      <c r="N89" s="3"/>
      <c r="O89" s="207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 s="3"/>
      <c r="AQ89" s="3"/>
      <c r="AR89" s="3"/>
      <c r="AS89"/>
      <c r="AT89"/>
      <c r="AU89"/>
      <c r="AV89"/>
      <c r="AW89" s="3"/>
      <c r="AX89" s="3"/>
      <c r="AY89" s="3"/>
      <c r="AZ89" s="181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</row>
    <row r="90" spans="1:247" s="46" customFormat="1" ht="30.75" customHeight="1">
      <c r="A90" s="3"/>
      <c r="B90" s="260" t="s">
        <v>1177</v>
      </c>
      <c r="C90" s="230">
        <f>IF(ISERROR(PrecoTotal_01-SomaCustos_01),"0",PrecoTotal_01-SomaCustos_01)</f>
        <v>0</v>
      </c>
      <c r="D90" s="230">
        <f>IF(ISERROR(PrecoTotal_02-SomaCustos_02),"0",PrecoTotal_02-SomaCustos_02)</f>
        <v>0</v>
      </c>
      <c r="E90" s="230">
        <f>IF(ISERROR(PrecoTotal_03-SomaCustos_03),"0",PrecoTotal_03-SomaCustos_03)</f>
        <v>0</v>
      </c>
      <c r="F90" s="230">
        <f>IF(ISERROR(PrecoTotal_04-SomaCustos_04),"0",PrecoTotal_04-SomaCustos_04)</f>
        <v>0</v>
      </c>
      <c r="G90" s="230">
        <f>IF(ISERROR(PrecoTotal_05-SomaCustos_05),"0",PrecoTotal_05-SomaCustos_05)</f>
        <v>0</v>
      </c>
      <c r="H90" s="230">
        <f>IF(ISERROR(PrecoTotal_06-SomaCustos_06),"0",PrecoTotal_06-SomaCustos_06)</f>
        <v>0</v>
      </c>
      <c r="I90" s="230">
        <f>IF(ISERROR(PrecoTotal_07-SomaCustos_07),"0",PrecoTotal_07-SomaCustos_07)</f>
        <v>0</v>
      </c>
      <c r="J90" s="261">
        <f>IF(ISERROR(PrecoTotal_08-SomaCustos_08),"0",PrecoTotal_08-SomaCustos_08)</f>
        <v>0</v>
      </c>
      <c r="L90" s="3"/>
      <c r="M90" s="3"/>
      <c r="N90" s="3"/>
      <c r="O90" s="207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 s="3"/>
      <c r="AQ90" s="3"/>
      <c r="AR90" s="3"/>
      <c r="AS90"/>
      <c r="AT90"/>
      <c r="AU90"/>
      <c r="AV90"/>
      <c r="AW90" s="3"/>
      <c r="AX90" s="3"/>
      <c r="AY90" s="3"/>
      <c r="AZ90" s="181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</row>
    <row r="91" spans="1:247" s="46" customFormat="1" ht="31.5" customHeight="1" thickBot="1">
      <c r="A91" s="3"/>
      <c r="B91" s="263"/>
      <c r="C91" s="152"/>
      <c r="D91" s="152"/>
      <c r="E91" s="153"/>
      <c r="F91" s="153"/>
      <c r="G91" s="153"/>
      <c r="H91" s="153"/>
      <c r="I91" s="153"/>
      <c r="J91" s="264"/>
      <c r="L91" s="3"/>
      <c r="M91" s="3"/>
      <c r="N91" s="3"/>
      <c r="O91" s="207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 s="3"/>
      <c r="AQ91" s="3"/>
      <c r="AR91" s="3"/>
      <c r="AS91"/>
      <c r="AT91"/>
      <c r="AU91"/>
      <c r="AV91"/>
      <c r="AW91" s="3"/>
      <c r="AX91" s="3"/>
      <c r="AY91" s="3"/>
      <c r="AZ91" s="181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</row>
    <row r="92" spans="1:247" ht="31.5" customHeight="1">
      <c r="B92" s="265" t="s">
        <v>1328</v>
      </c>
      <c r="C92" s="228">
        <f>IF(C23="PRODUTO",IF(ISERROR(+PrecoMKT_01/PRODUTO),"",+PrecoMKT_01/PRODUTO),IF(ISERROR(+PrecoMKT_01/SERVICO),"",+PrecoMKT_01/SERVICO))</f>
        <v>0</v>
      </c>
      <c r="D92" s="228">
        <f>IF(D23="PRODUTO",IF(ISERROR(+PrecoMKT_02/PRODUTO),"",+PrecoMKT_02/PRODUTO),IF(ISERROR(+PrecoMKT_02/SERVICO),"",+PrecoMKT_02/SERVICO))</f>
        <v>0</v>
      </c>
      <c r="E92" s="228">
        <f>IF(E23="PRODUTO",IF(ISERROR(+PrecoMKT_03/PRODUTO),"",+PrecoMKT_03/PRODUTO),IF(ISERROR(+PrecoMKT_03/SERVICO),"",+PrecoMKT_03/SERVICO))</f>
        <v>0</v>
      </c>
      <c r="F92" s="228">
        <f>IF(F23="PRODUTO",IF(ISERROR(+PrecoMKT_04/PRODUTO),"",+PrecoMKT_04/PRODUTO),IF(ISERROR(+PrecoMKT_04/SERVICO),"",+PrecoMKT_04/SERVICO))</f>
        <v>0</v>
      </c>
      <c r="G92" s="228">
        <f>IF(G23="PRODUTO",IF(ISERROR(+PrecoMKT_05/PRODUTO),"",+PrecoMKT_05/PRODUTO),IF(ISERROR(+PrecoMKT_05/SERVICO),"",+PrecoMKT_05/SERVICO))</f>
        <v>0</v>
      </c>
      <c r="H92" s="228">
        <f>IF(H23="PRODUTO",IF(ISERROR(+PrecoMKT_06/PRODUTO),"",+PrecoMKT_06/PRODUTO),IF(ISERROR(+PrecoMKT_06/SERVICO),"",+PrecoMKT_06/SERVICO))</f>
        <v>0</v>
      </c>
      <c r="I92" s="228">
        <f>IF(I23="PRODUTO",IF(ISERROR(+PrecoMKT_07/PRODUTO),"",+PrecoMKT_07/PRODUTO),IF(ISERROR(+PrecoMKT_07/SERVICO),"",+PrecoMKT_07/SERVICO))</f>
        <v>0</v>
      </c>
      <c r="J92" s="266">
        <f>IF(J23="PRODUTO",IF(ISERROR(+PrecoMKT_08/PRODUTO),"",+PrecoMKT_08/PRODUTO),IF(ISERROR(+PrecoMKT_08/SERVICO),"",+PrecoMKT_08/SERVICO))</f>
        <v>0</v>
      </c>
    </row>
    <row r="93" spans="1:247" ht="31.5" customHeight="1">
      <c r="B93" s="260" t="s">
        <v>1188</v>
      </c>
      <c r="C93" s="200">
        <v>0</v>
      </c>
      <c r="D93" s="200">
        <v>0</v>
      </c>
      <c r="E93" s="200">
        <v>0</v>
      </c>
      <c r="F93" s="200">
        <v>0</v>
      </c>
      <c r="G93" s="200">
        <v>0</v>
      </c>
      <c r="H93" s="200">
        <v>0</v>
      </c>
      <c r="I93" s="200">
        <v>0</v>
      </c>
      <c r="J93" s="267">
        <v>0</v>
      </c>
    </row>
    <row r="94" spans="1:247" ht="31.5" customHeight="1" thickBot="1">
      <c r="B94" s="268" t="s">
        <v>1330</v>
      </c>
      <c r="C94" s="269">
        <f>IF(ISERROR(+ARREDONDAMENT0_01/TIRAGEM_01),"0",+ARREDONDAMENT0_01/TIRAGEM_01)</f>
        <v>0</v>
      </c>
      <c r="D94" s="269">
        <f>IF(ISERROR(+ARREDONDAMENT0_02/TIRAGEM_02),"0",+ARREDONDAMENT0_02/TIRAGEM_02)</f>
        <v>0</v>
      </c>
      <c r="E94" s="269" t="str">
        <f>IF(ISERROR(+ARREDONDAMENT0_03/TIRAGEM_03),"0",+ARREDONDAMENT0_03/TIRAGEM_03)</f>
        <v>0</v>
      </c>
      <c r="F94" s="269" t="str">
        <f>IF(ISERROR(+ARREDONDAMENT0_04/TIRAGEM_04),"0",+ARREDONDAMENT0_04/TIRAGEM_04)</f>
        <v>0</v>
      </c>
      <c r="G94" s="269" t="str">
        <f>IF(ISERROR(+ARREDONDAMENT0_05/TIRAGEM_05),"0",+ARREDONDAMENT0_05/TIRAGEM_05)</f>
        <v>0</v>
      </c>
      <c r="H94" s="269" t="str">
        <f>IF(ISERROR(+ARREDONDAMENT0_06/TIRAGEM_06),"0",+ARREDONDAMENT0_06/TIRAGEM_06)</f>
        <v>0</v>
      </c>
      <c r="I94" s="269" t="str">
        <f>IF(ISERROR(+ARREDONDAMENT0_07/TIRAGEM_07),"0",+ARREDONDAMENT0_07/TIRAGEM_07)</f>
        <v>0</v>
      </c>
      <c r="J94" s="270" t="str">
        <f>IF(ISERROR(+ARREDONDAMENT0_08/TIRAGEM_08),"0",+ARREDONDAMENT0_08/TIRAGEM_08)</f>
        <v>0</v>
      </c>
    </row>
    <row r="95" spans="1:247" s="46" customFormat="1" ht="31.5" customHeight="1" thickTop="1">
      <c r="A95" s="3"/>
      <c r="B95" s="3"/>
      <c r="C95" s="152"/>
      <c r="D95" s="152"/>
      <c r="E95" s="153"/>
      <c r="F95" s="153"/>
      <c r="G95" s="154"/>
      <c r="H95" s="154"/>
      <c r="I95" s="154"/>
      <c r="J95" s="154"/>
      <c r="L95" s="3"/>
      <c r="M95" s="3"/>
      <c r="N95" s="3"/>
      <c r="O95" s="207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 s="3"/>
      <c r="AQ95" s="3"/>
      <c r="AR95" s="3"/>
      <c r="AS95"/>
      <c r="AT95"/>
      <c r="AU95"/>
      <c r="AV95"/>
      <c r="AW95" s="3"/>
      <c r="AX95" s="3"/>
      <c r="AY95" s="3"/>
      <c r="AZ95" s="181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</row>
    <row r="96" spans="1:247" s="46" customFormat="1" ht="30.75" customHeight="1">
      <c r="A96" s="3"/>
      <c r="B96" s="79" t="s">
        <v>1190</v>
      </c>
      <c r="C96" s="250">
        <v>0.90749999999999997</v>
      </c>
      <c r="D96" s="152"/>
      <c r="E96" s="153"/>
      <c r="F96" s="153"/>
      <c r="G96" s="154"/>
      <c r="H96" s="154"/>
      <c r="I96" s="154"/>
      <c r="J96" s="154"/>
      <c r="L96" s="3"/>
      <c r="M96" s="3"/>
      <c r="N96" s="3"/>
      <c r="O96" s="207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 s="3"/>
      <c r="AQ96" s="3"/>
      <c r="AR96" s="3"/>
      <c r="AS96"/>
      <c r="AT96"/>
      <c r="AU96"/>
      <c r="AV96"/>
      <c r="AW96" s="3"/>
      <c r="AX96" s="3"/>
      <c r="AY96" s="3"/>
      <c r="AZ96" s="181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</row>
    <row r="97" spans="1:247" s="46" customFormat="1" ht="30.75" customHeight="1">
      <c r="A97" s="3"/>
      <c r="B97" s="79" t="s">
        <v>1191</v>
      </c>
      <c r="C97" s="250">
        <v>0.85750000000000004</v>
      </c>
      <c r="D97" s="149"/>
      <c r="E97" s="150"/>
      <c r="F97" s="150"/>
      <c r="G97" s="151"/>
      <c r="H97" s="151"/>
      <c r="I97" s="151"/>
      <c r="J97" s="151"/>
      <c r="L97" s="3"/>
      <c r="M97" s="3"/>
      <c r="N97" s="3"/>
      <c r="O97" s="20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 s="3"/>
      <c r="AQ97" s="3"/>
      <c r="AR97" s="3"/>
      <c r="AS97"/>
      <c r="AT97"/>
      <c r="AU97"/>
      <c r="AV97"/>
      <c r="AW97" s="3"/>
      <c r="AX97" s="3"/>
      <c r="AY97" s="3"/>
      <c r="AZ97" s="181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</row>
    <row r="98" spans="1:247" ht="31.5" customHeight="1">
      <c r="C98" s="149"/>
      <c r="D98" s="149"/>
      <c r="E98" s="150"/>
      <c r="F98" s="150"/>
      <c r="G98" s="151"/>
      <c r="H98" s="151"/>
      <c r="I98" s="151"/>
      <c r="J98" s="151"/>
    </row>
    <row r="102" spans="1:247" ht="31.5" customHeight="1">
      <c r="C102" s="149"/>
      <c r="D102" s="149"/>
      <c r="E102" s="150"/>
      <c r="F102" s="150"/>
      <c r="G102" s="151"/>
      <c r="H102" s="151"/>
      <c r="I102" s="151"/>
      <c r="J102" s="151"/>
    </row>
    <row r="1048525" spans="1:247" s="19" customFormat="1">
      <c r="A1048525" s="3"/>
      <c r="B1048525" s="31" t="s">
        <v>1129</v>
      </c>
      <c r="E1048525" s="3"/>
      <c r="F1048525" s="3"/>
      <c r="G1048525" s="13"/>
      <c r="H1048525" s="13"/>
      <c r="I1048525" s="13"/>
      <c r="J1048525" s="13"/>
      <c r="K1048525" s="46"/>
      <c r="L1048525" s="3"/>
      <c r="M1048525" s="3"/>
      <c r="N1048525" s="3"/>
      <c r="O1048525" s="207"/>
      <c r="P1048525" s="3"/>
      <c r="Q1048525" s="3"/>
      <c r="R1048525" s="3"/>
      <c r="S1048525" s="3"/>
      <c r="T1048525" s="3"/>
      <c r="U1048525" s="3"/>
      <c r="V1048525" s="3"/>
      <c r="W1048525" s="3"/>
      <c r="X1048525" s="3"/>
      <c r="Y1048525" s="3"/>
      <c r="Z1048525" s="3"/>
      <c r="AA1048525" s="3"/>
      <c r="AB1048525" s="3"/>
      <c r="AC1048525"/>
      <c r="AD1048525"/>
      <c r="AE1048525"/>
      <c r="AF1048525"/>
      <c r="AG1048525"/>
      <c r="AH1048525"/>
      <c r="AI1048525"/>
      <c r="AJ1048525"/>
      <c r="AK1048525"/>
      <c r="AL1048525"/>
      <c r="AM1048525"/>
      <c r="AN1048525"/>
      <c r="AO1048525"/>
      <c r="AP1048525" s="3"/>
      <c r="AQ1048525" s="3"/>
      <c r="AR1048525" s="3"/>
      <c r="AS1048525"/>
      <c r="AT1048525"/>
      <c r="AU1048525"/>
      <c r="AV1048525"/>
      <c r="AW1048525" s="3"/>
      <c r="AX1048525" s="3"/>
      <c r="AY1048525" s="3"/>
      <c r="AZ1048525" s="181"/>
      <c r="BA1048525" s="3"/>
      <c r="BB1048525" s="3"/>
      <c r="BC1048525" s="3"/>
      <c r="BD1048525" s="3"/>
      <c r="BE1048525" s="3"/>
      <c r="BF1048525" s="3"/>
      <c r="BG1048525" s="3"/>
      <c r="BH1048525" s="3"/>
      <c r="BI1048525" s="3"/>
      <c r="BJ1048525" s="3"/>
      <c r="BK1048525" s="3"/>
      <c r="BL1048525" s="3"/>
      <c r="BM1048525" s="3"/>
      <c r="BN1048525" s="3"/>
      <c r="BO1048525" s="3"/>
      <c r="BP1048525" s="3"/>
      <c r="BQ1048525" s="3"/>
      <c r="BR1048525" s="3"/>
      <c r="BS1048525" s="3"/>
      <c r="BT1048525" s="3"/>
      <c r="BU1048525" s="3"/>
      <c r="BV1048525" s="3"/>
      <c r="BW1048525" s="3"/>
      <c r="BX1048525" s="3"/>
      <c r="BY1048525" s="3"/>
      <c r="BZ1048525" s="3"/>
      <c r="CA1048525" s="3"/>
      <c r="CB1048525" s="3"/>
      <c r="CC1048525" s="3"/>
      <c r="CD1048525" s="3"/>
      <c r="CE1048525" s="3"/>
      <c r="CF1048525" s="3"/>
      <c r="CG1048525" s="3"/>
      <c r="CH1048525" s="3"/>
      <c r="CI1048525" s="3"/>
      <c r="CJ1048525" s="3"/>
      <c r="CK1048525" s="3"/>
      <c r="CL1048525" s="3"/>
      <c r="CM1048525" s="3"/>
      <c r="CN1048525" s="3"/>
      <c r="CO1048525" s="3"/>
      <c r="CP1048525" s="3"/>
      <c r="CQ1048525" s="3"/>
      <c r="CR1048525" s="3"/>
      <c r="CS1048525" s="3"/>
      <c r="CT1048525" s="3"/>
      <c r="CU1048525" s="3"/>
      <c r="CV1048525" s="3"/>
      <c r="CW1048525" s="3"/>
      <c r="CX1048525" s="3"/>
      <c r="CY1048525" s="3"/>
      <c r="CZ1048525" s="3"/>
      <c r="DA1048525" s="3"/>
      <c r="DB1048525" s="3"/>
      <c r="DC1048525" s="3"/>
      <c r="DD1048525" s="3"/>
      <c r="DE1048525" s="3"/>
      <c r="DF1048525" s="3"/>
      <c r="DG1048525" s="3"/>
      <c r="DH1048525" s="3"/>
      <c r="DI1048525" s="3"/>
      <c r="DJ1048525" s="3"/>
      <c r="DK1048525" s="3"/>
      <c r="DL1048525" s="3"/>
      <c r="DM1048525" s="3"/>
      <c r="DN1048525" s="3"/>
      <c r="DO1048525" s="3"/>
      <c r="DP1048525" s="3"/>
      <c r="DQ1048525" s="3"/>
      <c r="DR1048525" s="3"/>
      <c r="DS1048525" s="3"/>
      <c r="DT1048525" s="3"/>
      <c r="DU1048525" s="3"/>
      <c r="DV1048525" s="3"/>
      <c r="DW1048525" s="3"/>
      <c r="DX1048525" s="3"/>
      <c r="DY1048525" s="3"/>
      <c r="DZ1048525" s="3"/>
      <c r="EA1048525" s="3"/>
      <c r="EB1048525" s="3"/>
      <c r="EC1048525" s="3"/>
      <c r="ED1048525" s="3"/>
      <c r="EE1048525" s="3"/>
      <c r="EF1048525" s="3"/>
      <c r="EG1048525" s="3"/>
      <c r="EH1048525" s="3"/>
      <c r="EI1048525" s="3"/>
      <c r="EJ1048525" s="3"/>
      <c r="EK1048525" s="3"/>
      <c r="EL1048525" s="3"/>
      <c r="EM1048525" s="3"/>
      <c r="EN1048525" s="3"/>
      <c r="EO1048525" s="3"/>
      <c r="EP1048525" s="3"/>
      <c r="EQ1048525" s="3"/>
      <c r="ER1048525" s="3"/>
      <c r="ES1048525" s="3"/>
      <c r="ET1048525" s="3"/>
      <c r="EU1048525" s="3"/>
      <c r="EV1048525" s="3"/>
      <c r="EW1048525" s="3"/>
      <c r="EX1048525" s="3"/>
      <c r="EY1048525" s="3"/>
      <c r="EZ1048525" s="3"/>
      <c r="FA1048525" s="3"/>
      <c r="FB1048525" s="3"/>
      <c r="FC1048525" s="3"/>
      <c r="FD1048525" s="3"/>
      <c r="FE1048525" s="3"/>
      <c r="FF1048525" s="3"/>
      <c r="FG1048525" s="3"/>
      <c r="FH1048525" s="3"/>
      <c r="FI1048525" s="3"/>
      <c r="FJ1048525" s="3"/>
      <c r="FK1048525" s="3"/>
      <c r="FL1048525" s="3"/>
      <c r="FM1048525" s="3"/>
      <c r="FN1048525" s="3"/>
      <c r="FO1048525" s="3"/>
      <c r="FP1048525" s="3"/>
      <c r="FQ1048525" s="3"/>
      <c r="FR1048525" s="3"/>
      <c r="FS1048525" s="3"/>
      <c r="FT1048525" s="3"/>
      <c r="FU1048525" s="3"/>
      <c r="FV1048525" s="3"/>
      <c r="FW1048525" s="3"/>
      <c r="FX1048525" s="3"/>
      <c r="FY1048525" s="3"/>
      <c r="FZ1048525" s="3"/>
      <c r="GA1048525" s="3"/>
      <c r="GB1048525" s="3"/>
      <c r="GC1048525" s="3"/>
      <c r="GD1048525" s="3"/>
      <c r="GE1048525" s="3"/>
      <c r="GF1048525" s="3"/>
      <c r="GG1048525" s="3"/>
      <c r="GH1048525" s="3"/>
      <c r="GI1048525" s="3"/>
      <c r="GJ1048525" s="3"/>
      <c r="GK1048525" s="3"/>
      <c r="GL1048525" s="3"/>
      <c r="GM1048525" s="3"/>
      <c r="GN1048525" s="3"/>
      <c r="GO1048525" s="3"/>
      <c r="GP1048525" s="3"/>
      <c r="GQ1048525" s="3"/>
      <c r="GR1048525" s="3"/>
      <c r="GS1048525" s="3"/>
      <c r="GT1048525" s="3"/>
      <c r="GU1048525" s="3"/>
      <c r="GV1048525" s="3"/>
      <c r="GW1048525" s="3"/>
      <c r="GX1048525" s="3"/>
      <c r="GY1048525" s="3"/>
      <c r="GZ1048525" s="3"/>
      <c r="HA1048525" s="3"/>
      <c r="HB1048525" s="3"/>
      <c r="HC1048525" s="3"/>
      <c r="HD1048525" s="3"/>
      <c r="HE1048525" s="3"/>
      <c r="HF1048525" s="3"/>
      <c r="HG1048525" s="3"/>
      <c r="HH1048525" s="3"/>
      <c r="HI1048525" s="3"/>
      <c r="HJ1048525" s="3"/>
      <c r="HK1048525" s="3"/>
      <c r="HL1048525" s="3"/>
      <c r="HM1048525" s="3"/>
      <c r="HN1048525" s="3"/>
      <c r="HO1048525" s="3"/>
      <c r="HP1048525" s="3"/>
      <c r="HQ1048525" s="3"/>
      <c r="HR1048525" s="3"/>
      <c r="HS1048525" s="3"/>
      <c r="HT1048525" s="3"/>
      <c r="HU1048525" s="3"/>
      <c r="HV1048525" s="3"/>
      <c r="HW1048525" s="3"/>
      <c r="HX1048525" s="3"/>
      <c r="HY1048525" s="3"/>
      <c r="HZ1048525" s="3"/>
      <c r="IA1048525" s="3"/>
      <c r="IB1048525" s="3"/>
      <c r="IC1048525" s="3"/>
      <c r="ID1048525" s="3"/>
      <c r="IE1048525" s="3"/>
      <c r="IF1048525" s="3"/>
      <c r="IG1048525" s="3"/>
      <c r="IH1048525" s="3"/>
      <c r="II1048525" s="3"/>
      <c r="IJ1048525" s="3"/>
      <c r="IK1048525" s="3"/>
      <c r="IL1048525" s="3"/>
      <c r="IM1048525" s="3"/>
    </row>
    <row r="1048526" spans="1:247" s="19" customFormat="1">
      <c r="A1048526" s="3"/>
      <c r="B1048526" s="31" t="s">
        <v>1128</v>
      </c>
      <c r="E1048526" s="3"/>
      <c r="F1048526" s="3"/>
      <c r="G1048526" s="13"/>
      <c r="H1048526" s="13"/>
      <c r="I1048526" s="13"/>
      <c r="J1048526" s="13"/>
      <c r="K1048526" s="46"/>
      <c r="L1048526" s="3"/>
      <c r="M1048526" s="3"/>
      <c r="N1048526" s="3"/>
      <c r="O1048526" s="207"/>
      <c r="P1048526" s="3"/>
      <c r="Q1048526" s="3"/>
      <c r="R1048526" s="3"/>
      <c r="S1048526" s="3"/>
      <c r="T1048526" s="3"/>
      <c r="U1048526" s="3"/>
      <c r="V1048526" s="3"/>
      <c r="W1048526" s="3"/>
      <c r="X1048526" s="3"/>
      <c r="Y1048526" s="3"/>
      <c r="Z1048526" s="3"/>
      <c r="AA1048526" s="3"/>
      <c r="AB1048526" s="3"/>
      <c r="AC1048526"/>
      <c r="AD1048526"/>
      <c r="AE1048526"/>
      <c r="AF1048526"/>
      <c r="AG1048526"/>
      <c r="AH1048526"/>
      <c r="AI1048526"/>
      <c r="AJ1048526"/>
      <c r="AK1048526"/>
      <c r="AL1048526"/>
      <c r="AM1048526"/>
      <c r="AN1048526"/>
      <c r="AO1048526"/>
      <c r="AP1048526" s="3"/>
      <c r="AQ1048526" s="3"/>
      <c r="AR1048526" s="3"/>
      <c r="AS1048526"/>
      <c r="AT1048526"/>
      <c r="AU1048526"/>
      <c r="AV1048526"/>
      <c r="AW1048526" s="3"/>
      <c r="AX1048526" s="3"/>
      <c r="AY1048526" s="3"/>
      <c r="AZ1048526" s="181"/>
      <c r="BA1048526" s="3"/>
      <c r="BB1048526" s="3"/>
      <c r="BC1048526" s="3"/>
      <c r="BD1048526" s="3"/>
      <c r="BE1048526" s="3"/>
      <c r="BF1048526" s="3"/>
      <c r="BG1048526" s="3"/>
      <c r="BH1048526" s="3"/>
      <c r="BI1048526" s="3"/>
      <c r="BJ1048526" s="3"/>
      <c r="BK1048526" s="3"/>
      <c r="BL1048526" s="3"/>
      <c r="BM1048526" s="3"/>
      <c r="BN1048526" s="3"/>
      <c r="BO1048526" s="3"/>
      <c r="BP1048526" s="3"/>
      <c r="BQ1048526" s="3"/>
      <c r="BR1048526" s="3"/>
      <c r="BS1048526" s="3"/>
      <c r="BT1048526" s="3"/>
      <c r="BU1048526" s="3"/>
      <c r="BV1048526" s="3"/>
      <c r="BW1048526" s="3"/>
      <c r="BX1048526" s="3"/>
      <c r="BY1048526" s="3"/>
      <c r="BZ1048526" s="3"/>
      <c r="CA1048526" s="3"/>
      <c r="CB1048526" s="3"/>
      <c r="CC1048526" s="3"/>
      <c r="CD1048526" s="3"/>
      <c r="CE1048526" s="3"/>
      <c r="CF1048526" s="3"/>
      <c r="CG1048526" s="3"/>
      <c r="CH1048526" s="3"/>
      <c r="CI1048526" s="3"/>
      <c r="CJ1048526" s="3"/>
      <c r="CK1048526" s="3"/>
      <c r="CL1048526" s="3"/>
      <c r="CM1048526" s="3"/>
      <c r="CN1048526" s="3"/>
      <c r="CO1048526" s="3"/>
      <c r="CP1048526" s="3"/>
      <c r="CQ1048526" s="3"/>
      <c r="CR1048526" s="3"/>
      <c r="CS1048526" s="3"/>
      <c r="CT1048526" s="3"/>
      <c r="CU1048526" s="3"/>
      <c r="CV1048526" s="3"/>
      <c r="CW1048526" s="3"/>
      <c r="CX1048526" s="3"/>
      <c r="CY1048526" s="3"/>
      <c r="CZ1048526" s="3"/>
      <c r="DA1048526" s="3"/>
      <c r="DB1048526" s="3"/>
      <c r="DC1048526" s="3"/>
      <c r="DD1048526" s="3"/>
      <c r="DE1048526" s="3"/>
      <c r="DF1048526" s="3"/>
      <c r="DG1048526" s="3"/>
      <c r="DH1048526" s="3"/>
      <c r="DI1048526" s="3"/>
      <c r="DJ1048526" s="3"/>
      <c r="DK1048526" s="3"/>
      <c r="DL1048526" s="3"/>
      <c r="DM1048526" s="3"/>
      <c r="DN1048526" s="3"/>
      <c r="DO1048526" s="3"/>
      <c r="DP1048526" s="3"/>
      <c r="DQ1048526" s="3"/>
      <c r="DR1048526" s="3"/>
      <c r="DS1048526" s="3"/>
      <c r="DT1048526" s="3"/>
      <c r="DU1048526" s="3"/>
      <c r="DV1048526" s="3"/>
      <c r="DW1048526" s="3"/>
      <c r="DX1048526" s="3"/>
      <c r="DY1048526" s="3"/>
      <c r="DZ1048526" s="3"/>
      <c r="EA1048526" s="3"/>
      <c r="EB1048526" s="3"/>
      <c r="EC1048526" s="3"/>
      <c r="ED1048526" s="3"/>
      <c r="EE1048526" s="3"/>
      <c r="EF1048526" s="3"/>
      <c r="EG1048526" s="3"/>
      <c r="EH1048526" s="3"/>
      <c r="EI1048526" s="3"/>
      <c r="EJ1048526" s="3"/>
      <c r="EK1048526" s="3"/>
      <c r="EL1048526" s="3"/>
      <c r="EM1048526" s="3"/>
      <c r="EN1048526" s="3"/>
      <c r="EO1048526" s="3"/>
      <c r="EP1048526" s="3"/>
      <c r="EQ1048526" s="3"/>
      <c r="ER1048526" s="3"/>
      <c r="ES1048526" s="3"/>
      <c r="ET1048526" s="3"/>
      <c r="EU1048526" s="3"/>
      <c r="EV1048526" s="3"/>
      <c r="EW1048526" s="3"/>
      <c r="EX1048526" s="3"/>
      <c r="EY1048526" s="3"/>
      <c r="EZ1048526" s="3"/>
      <c r="FA1048526" s="3"/>
      <c r="FB1048526" s="3"/>
      <c r="FC1048526" s="3"/>
      <c r="FD1048526" s="3"/>
      <c r="FE1048526" s="3"/>
      <c r="FF1048526" s="3"/>
      <c r="FG1048526" s="3"/>
      <c r="FH1048526" s="3"/>
      <c r="FI1048526" s="3"/>
      <c r="FJ1048526" s="3"/>
      <c r="FK1048526" s="3"/>
      <c r="FL1048526" s="3"/>
      <c r="FM1048526" s="3"/>
      <c r="FN1048526" s="3"/>
      <c r="FO1048526" s="3"/>
      <c r="FP1048526" s="3"/>
      <c r="FQ1048526" s="3"/>
      <c r="FR1048526" s="3"/>
      <c r="FS1048526" s="3"/>
      <c r="FT1048526" s="3"/>
      <c r="FU1048526" s="3"/>
      <c r="FV1048526" s="3"/>
      <c r="FW1048526" s="3"/>
      <c r="FX1048526" s="3"/>
      <c r="FY1048526" s="3"/>
      <c r="FZ1048526" s="3"/>
      <c r="GA1048526" s="3"/>
      <c r="GB1048526" s="3"/>
      <c r="GC1048526" s="3"/>
      <c r="GD1048526" s="3"/>
      <c r="GE1048526" s="3"/>
      <c r="GF1048526" s="3"/>
      <c r="GG1048526" s="3"/>
      <c r="GH1048526" s="3"/>
      <c r="GI1048526" s="3"/>
      <c r="GJ1048526" s="3"/>
      <c r="GK1048526" s="3"/>
      <c r="GL1048526" s="3"/>
      <c r="GM1048526" s="3"/>
      <c r="GN1048526" s="3"/>
      <c r="GO1048526" s="3"/>
      <c r="GP1048526" s="3"/>
      <c r="GQ1048526" s="3"/>
      <c r="GR1048526" s="3"/>
      <c r="GS1048526" s="3"/>
      <c r="GT1048526" s="3"/>
      <c r="GU1048526" s="3"/>
      <c r="GV1048526" s="3"/>
      <c r="GW1048526" s="3"/>
      <c r="GX1048526" s="3"/>
      <c r="GY1048526" s="3"/>
      <c r="GZ1048526" s="3"/>
      <c r="HA1048526" s="3"/>
      <c r="HB1048526" s="3"/>
      <c r="HC1048526" s="3"/>
      <c r="HD1048526" s="3"/>
      <c r="HE1048526" s="3"/>
      <c r="HF1048526" s="3"/>
      <c r="HG1048526" s="3"/>
      <c r="HH1048526" s="3"/>
      <c r="HI1048526" s="3"/>
      <c r="HJ1048526" s="3"/>
      <c r="HK1048526" s="3"/>
      <c r="HL1048526" s="3"/>
      <c r="HM1048526" s="3"/>
      <c r="HN1048526" s="3"/>
      <c r="HO1048526" s="3"/>
      <c r="HP1048526" s="3"/>
      <c r="HQ1048526" s="3"/>
      <c r="HR1048526" s="3"/>
      <c r="HS1048526" s="3"/>
      <c r="HT1048526" s="3"/>
      <c r="HU1048526" s="3"/>
      <c r="HV1048526" s="3"/>
      <c r="HW1048526" s="3"/>
      <c r="HX1048526" s="3"/>
      <c r="HY1048526" s="3"/>
      <c r="HZ1048526" s="3"/>
      <c r="IA1048526" s="3"/>
      <c r="IB1048526" s="3"/>
      <c r="IC1048526" s="3"/>
      <c r="ID1048526" s="3"/>
      <c r="IE1048526" s="3"/>
      <c r="IF1048526" s="3"/>
      <c r="IG1048526" s="3"/>
      <c r="IH1048526" s="3"/>
      <c r="II1048526" s="3"/>
      <c r="IJ1048526" s="3"/>
      <c r="IK1048526" s="3"/>
      <c r="IL1048526" s="3"/>
      <c r="IM1048526" s="3"/>
    </row>
  </sheetData>
  <dataConsolidate/>
  <mergeCells count="33">
    <mergeCell ref="C3:E3"/>
    <mergeCell ref="G3:H3"/>
    <mergeCell ref="W3:Z3"/>
    <mergeCell ref="B1:J1"/>
    <mergeCell ref="L1:N1"/>
    <mergeCell ref="P1:Q1"/>
    <mergeCell ref="S1:T1"/>
    <mergeCell ref="V1:Z1"/>
    <mergeCell ref="AK1:AO1"/>
    <mergeCell ref="AS1:AW1"/>
    <mergeCell ref="AZ1:BD1"/>
    <mergeCell ref="B2:J2"/>
    <mergeCell ref="AK2:AO2"/>
    <mergeCell ref="AC1:AH1"/>
    <mergeCell ref="B36:J36"/>
    <mergeCell ref="C4:E4"/>
    <mergeCell ref="G4:H4"/>
    <mergeCell ref="I4:I7"/>
    <mergeCell ref="J4:J7"/>
    <mergeCell ref="C5:H5"/>
    <mergeCell ref="B6:B7"/>
    <mergeCell ref="C6:H7"/>
    <mergeCell ref="C8:J8"/>
    <mergeCell ref="C9:J9"/>
    <mergeCell ref="C10:J10"/>
    <mergeCell ref="B11:J11"/>
    <mergeCell ref="B24:J24"/>
    <mergeCell ref="B30:J30"/>
    <mergeCell ref="B37:J37"/>
    <mergeCell ref="B38:J38"/>
    <mergeCell ref="B39:J39"/>
    <mergeCell ref="B40:J40"/>
    <mergeCell ref="B65:J65"/>
  </mergeCells>
  <conditionalFormatting sqref="C12:J12">
    <cfRule type="expression" dxfId="5" priority="2">
      <formula>$K$12&lt;&gt;"OK"</formula>
    </cfRule>
  </conditionalFormatting>
  <conditionalFormatting sqref="J4:J7">
    <cfRule type="expression" dxfId="4" priority="1">
      <formula>$K$4&lt;&gt;"OK"</formula>
    </cfRule>
  </conditionalFormatting>
  <dataValidations disablePrompts="1" count="21">
    <dataValidation type="list" allowBlank="1" showInputMessage="1" showErrorMessage="1" sqref="C4:E4">
      <formula1>CLIENTES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8:J8">
      <formula1>PUBLISHER</formula1>
    </dataValidation>
    <dataValidation type="list" allowBlank="1" sqref="C20:J20">
      <formula1>MOEDA</formula1>
    </dataValidation>
    <dataValidation type="list" allowBlank="1" sqref="C15:J15">
      <formula1>VENDAS</formula1>
    </dataValidation>
    <dataValidation allowBlank="1" showInputMessage="1" sqref="B24:J24 B30:J30"/>
    <dataValidation type="list" allowBlank="1" showInputMessage="1" showErrorMessage="1" sqref="B37:J37">
      <formula1>ACABAMENTO</formula1>
    </dataValidation>
    <dataValidation type="list" allowBlank="1" showInputMessage="1" showErrorMessage="1" sqref="G35:J35 G29:J29 C35:E35 C29:E29">
      <formula1>FORMATO</formula1>
    </dataValidation>
    <dataValidation type="list" allowBlank="1" showInputMessage="1" showErrorMessage="1" sqref="G28:J28 C34:E34 G34:J34 C28:E28">
      <formula1>IMPRESSAO</formula1>
    </dataValidation>
    <dataValidation type="list" allowBlank="1" showInputMessage="1" showErrorMessage="1" sqref="C27:J27 C33:J33">
      <formula1>NPAGINAS</formula1>
    </dataValidation>
    <dataValidation type="list" allowBlank="1" showInputMessage="1" showErrorMessage="1" sqref="C26:J26 C32:J32">
      <formula1>PAPEL</formula1>
    </dataValidation>
    <dataValidation type="list" allowBlank="1" showInputMessage="1" showErrorMessage="1" sqref="C25:J25 C31:J31">
      <formula1>TIPO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13:J13">
      <formula1>LINHA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F3">
      <formula1>0</formula1>
    </dataValidation>
    <dataValidation type="list" allowBlank="1" sqref="HT20:IA20">
      <formula1>$P$3:$P$6</formula1>
    </dataValidation>
    <dataValidation type="list" allowBlank="1" sqref="HT15:IA15">
      <formula1>$S$3:$S$4</formula1>
    </dataValidation>
    <dataValidation type="list" allowBlank="1" sqref="HX5:HY5">
      <formula1>$L$3:$L$15</formula1>
    </dataValidation>
    <dataValidation type="list" allowBlank="1" errorTitle="Validação" error="Favor preencher conforme a lista!" sqref="HT8:IA9">
      <formula1>#REF!</formula1>
    </dataValidation>
    <dataValidation type="list" allowBlank="1" sqref="IA3 HT25:IA35 HS37:IA37 HT17:IA17">
      <formula1>#REF!</formula1>
    </dataValidation>
    <dataValidation type="list" errorStyle="warning" errorTitle="Validação" error="Favor preencher conforme a lista!" sqref="HT4:HV4">
      <formula1>#REF!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0">
    <tabColor indexed="13"/>
    <pageSetUpPr fitToPage="1"/>
  </sheetPr>
  <dimension ref="A1:HK1048523"/>
  <sheetViews>
    <sheetView showGridLines="0" tabSelected="1" zoomScale="40" zoomScaleNormal="40" zoomScaleSheetLayoutView="25" workbookViewId="0"/>
  </sheetViews>
  <sheetFormatPr defaultColWidth="9.140625" defaultRowHeight="15"/>
  <cols>
    <col min="1" max="1" width="12.140625" style="3" bestFit="1" customWidth="1"/>
    <col min="2" max="2" width="62.5703125" style="3" customWidth="1"/>
    <col min="3" max="3" width="33" style="19" customWidth="1"/>
    <col min="4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5.140625" style="207" bestFit="1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7" width="9.140625" style="3" customWidth="1"/>
    <col min="28" max="28" width="12.28515625" style="3" bestFit="1" customWidth="1"/>
    <col min="29" max="35" width="23" style="3" customWidth="1"/>
    <col min="36" max="37" width="9.140625" style="3" customWidth="1"/>
    <col min="38" max="38" width="28" style="3" bestFit="1" customWidth="1"/>
    <col min="39" max="39" width="18.5703125" style="3" bestFit="1" customWidth="1"/>
    <col min="40" max="40" width="41.140625" style="3" bestFit="1" customWidth="1"/>
    <col min="41" max="41" width="16" style="3" bestFit="1" customWidth="1"/>
    <col min="42" max="42" width="20.140625" style="3" bestFit="1" customWidth="1"/>
    <col min="43" max="43" width="9.140625" style="3" customWidth="1"/>
    <col min="44" max="44" width="2.7109375" style="321" bestFit="1" customWidth="1"/>
    <col min="45" max="53" width="9.140625" style="3" customWidth="1"/>
    <col min="54" max="54" width="12.5703125" style="359" hidden="1" customWidth="1"/>
    <col min="55" max="55" width="5.28515625" style="359" hidden="1" customWidth="1"/>
    <col min="56" max="56" width="2.28515625" style="359" hidden="1" customWidth="1"/>
    <col min="57" max="57" width="12.5703125" style="359" hidden="1" customWidth="1"/>
    <col min="58" max="58" width="5.28515625" style="359" hidden="1" customWidth="1"/>
    <col min="59" max="197" width="9.140625" style="3" customWidth="1"/>
    <col min="198" max="198" width="28.7109375" style="3" customWidth="1"/>
    <col min="199" max="199" width="39.140625" style="3" customWidth="1"/>
    <col min="200" max="202" width="19.7109375" style="3" customWidth="1"/>
    <col min="203" max="203" width="21.5703125" style="3" customWidth="1"/>
    <col min="204" max="206" width="19.7109375" style="3" customWidth="1"/>
    <col min="207" max="207" width="37.85546875" style="3" customWidth="1"/>
    <col min="208" max="208" width="26.85546875" style="3" customWidth="1"/>
    <col min="209" max="209" width="36.7109375" style="3" customWidth="1"/>
    <col min="210" max="210" width="3" style="3" customWidth="1"/>
    <col min="211" max="211" width="30" style="3" customWidth="1"/>
    <col min="212" max="212" width="25.5703125" style="3" customWidth="1"/>
    <col min="213" max="213" width="19.140625" style="3" customWidth="1"/>
    <col min="214" max="214" width="7.28515625" style="3" customWidth="1"/>
    <col min="215" max="215" width="10.85546875" style="3" customWidth="1"/>
    <col min="216" max="216" width="13.5703125" style="3" customWidth="1"/>
    <col min="217" max="217" width="22.85546875" style="3" customWidth="1"/>
    <col min="218" max="218" width="34.7109375" style="3" customWidth="1"/>
    <col min="219" max="219" width="19.7109375" style="3" customWidth="1"/>
    <col min="220" max="16384" width="9.140625" style="3"/>
  </cols>
  <sheetData>
    <row r="1" spans="1:62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207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0"/>
      <c r="AD1" s="397" t="s">
        <v>1237</v>
      </c>
      <c r="AE1" s="397"/>
      <c r="AF1" s="397"/>
      <c r="AG1" s="397"/>
      <c r="AH1" s="397"/>
      <c r="AI1" s="397"/>
      <c r="AJ1"/>
      <c r="AK1"/>
      <c r="AL1" s="397" t="s">
        <v>1239</v>
      </c>
      <c r="AM1" s="397"/>
      <c r="AN1" s="397"/>
      <c r="AO1" s="397"/>
      <c r="AP1" s="397"/>
      <c r="AR1" s="347" t="s">
        <v>1352</v>
      </c>
      <c r="BB1" s="359"/>
      <c r="BC1" s="359"/>
      <c r="BD1" s="359" t="s">
        <v>1135</v>
      </c>
      <c r="BE1" s="359"/>
      <c r="BF1" s="359"/>
    </row>
    <row r="2" spans="1:62" s="2" customFormat="1" ht="30.75" customHeight="1" thickBot="1">
      <c r="A2" s="29"/>
      <c r="B2" s="388" t="s">
        <v>578</v>
      </c>
      <c r="C2" s="389"/>
      <c r="D2" s="389"/>
      <c r="E2" s="389"/>
      <c r="F2" s="389"/>
      <c r="G2" s="389"/>
      <c r="H2" s="389"/>
      <c r="I2" s="389"/>
      <c r="J2" s="390"/>
      <c r="K2" s="46"/>
      <c r="L2" s="15" t="s">
        <v>598</v>
      </c>
      <c r="M2" s="15" t="s">
        <v>627</v>
      </c>
      <c r="N2" s="15" t="s">
        <v>628</v>
      </c>
      <c r="O2" s="208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1336</v>
      </c>
      <c r="AD2" s="15" t="s">
        <v>1283</v>
      </c>
      <c r="AE2" s="15" t="s">
        <v>1282</v>
      </c>
      <c r="AF2" s="15" t="s">
        <v>1238</v>
      </c>
      <c r="AG2" s="15" t="s">
        <v>1260</v>
      </c>
      <c r="AH2" s="15" t="s">
        <v>1262</v>
      </c>
      <c r="AI2" s="15" t="s">
        <v>1235</v>
      </c>
      <c r="AJ2"/>
      <c r="AK2"/>
      <c r="AL2" s="417" t="s">
        <v>1240</v>
      </c>
      <c r="AM2" s="418"/>
      <c r="AN2" s="418"/>
      <c r="AO2" s="418"/>
      <c r="AP2" s="419"/>
      <c r="AR2" s="321"/>
      <c r="BB2" s="359" t="s">
        <v>1365</v>
      </c>
      <c r="BC2" s="359">
        <v>5000</v>
      </c>
      <c r="BD2" s="359"/>
      <c r="BE2" s="359" t="s">
        <v>1365</v>
      </c>
      <c r="BF2" s="359">
        <v>1500</v>
      </c>
    </row>
    <row r="3" spans="1:62" s="5" customFormat="1" ht="56.25" customHeight="1">
      <c r="A3" s="213"/>
      <c r="B3" s="243" t="s">
        <v>592</v>
      </c>
      <c r="C3" s="445" t="s">
        <v>1364</v>
      </c>
      <c r="D3" s="446"/>
      <c r="E3" s="447"/>
      <c r="F3" s="246" t="s">
        <v>1274</v>
      </c>
      <c r="G3" s="471">
        <v>41874</v>
      </c>
      <c r="H3" s="472"/>
      <c r="I3" s="247" t="s">
        <v>577</v>
      </c>
      <c r="J3" s="227"/>
      <c r="K3" s="45"/>
      <c r="L3" s="70" t="s">
        <v>1200</v>
      </c>
      <c r="M3" s="48" t="s">
        <v>1198</v>
      </c>
      <c r="N3" s="48" t="s">
        <v>1199</v>
      </c>
      <c r="O3" s="207"/>
      <c r="P3" s="32" t="s">
        <v>1291</v>
      </c>
      <c r="Q3" s="66" t="s">
        <v>1296</v>
      </c>
      <c r="S3" s="32" t="s">
        <v>1307</v>
      </c>
      <c r="T3" s="55" t="s">
        <v>1308</v>
      </c>
      <c r="V3" s="57">
        <v>0</v>
      </c>
      <c r="W3" s="394" t="s">
        <v>1363</v>
      </c>
      <c r="X3" s="395"/>
      <c r="Y3" s="395"/>
      <c r="Z3" s="396"/>
      <c r="AB3" s="170">
        <v>1</v>
      </c>
      <c r="AC3" s="170">
        <v>1</v>
      </c>
      <c r="AD3" s="358" t="s">
        <v>1365</v>
      </c>
      <c r="AE3" s="358" t="s">
        <v>1366</v>
      </c>
      <c r="AF3" s="169">
        <v>3200</v>
      </c>
      <c r="AG3" s="165">
        <f t="shared" ref="AG3:AG27" si="0">(AF3-AH3)/(1-AI3)</f>
        <v>3370.552941176471</v>
      </c>
      <c r="AH3" s="166">
        <f>IF(AND(AF3&gt;$AO$4,AF3&lt;=$AP$4),$AN$4,IF(AND(AF3&gt;$AO$5,AF3&lt;=$AP$5),$AN$5,IF(AND(AF3&gt;$AO$6,AF3&lt;=$AP$6),$AN$6,IF(AND(AF3&gt;$AO$7,AF3&lt;=$AP$7),$AN$8,IF(AND(AF3&gt;$AO$8,AF3&lt;=$AP$8),$AN$8,0)))))</f>
        <v>335.03</v>
      </c>
      <c r="AI3" s="167">
        <f>IF(AND(AF3&gt;$AO$4,AF3&lt;=$AP$4),$AM$4,IF(AND(AF3&gt;$AO$5,AF3&lt;=$AP$5),$AM$5,IF(AND(AF3&gt;$AO$6,AF3&lt;=$AP$6),$AM$6,IF(AND(AF3&gt;$AO$7,AF3&lt;=$AP$7),$AM$8,IF(AND(AF3&gt;$AO$8,AF3&lt;=$AP$8),$AM$8,0)))))</f>
        <v>0.15</v>
      </c>
      <c r="AJ3"/>
      <c r="AK3"/>
      <c r="AL3" s="164" t="s">
        <v>1319</v>
      </c>
      <c r="AM3" s="164" t="s">
        <v>1242</v>
      </c>
      <c r="AN3" s="164" t="s">
        <v>1243</v>
      </c>
      <c r="AO3" s="164" t="s">
        <v>1320</v>
      </c>
      <c r="AP3" s="164" t="s">
        <v>1321</v>
      </c>
      <c r="AR3" s="322"/>
      <c r="BB3" s="359" t="s">
        <v>1322</v>
      </c>
      <c r="BC3" s="359">
        <v>2900</v>
      </c>
      <c r="BD3" s="360"/>
      <c r="BE3" s="359" t="s">
        <v>1322</v>
      </c>
      <c r="BF3" s="359">
        <v>2700</v>
      </c>
    </row>
    <row r="4" spans="1:62" s="5" customFormat="1" ht="42" customHeight="1">
      <c r="A4" s="214"/>
      <c r="B4" s="245" t="s">
        <v>579</v>
      </c>
      <c r="C4" s="445" t="s">
        <v>640</v>
      </c>
      <c r="D4" s="446"/>
      <c r="E4" s="447"/>
      <c r="F4" s="246" t="s">
        <v>1195</v>
      </c>
      <c r="G4" s="471">
        <v>41905</v>
      </c>
      <c r="H4" s="472"/>
      <c r="I4" s="463" t="s">
        <v>1133</v>
      </c>
      <c r="J4" s="448">
        <v>0</v>
      </c>
      <c r="K4" s="45" t="e">
        <f>IF(VALUE(J4)-SUMIF(C12:J12,"X",#REF!)&gt;0,"OK","N.OK")</f>
        <v>#REF!</v>
      </c>
      <c r="L4" s="70" t="s">
        <v>1201</v>
      </c>
      <c r="M4" s="48" t="s">
        <v>1198</v>
      </c>
      <c r="N4" s="49" t="s">
        <v>1199</v>
      </c>
      <c r="O4" s="207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71">
        <v>1</v>
      </c>
      <c r="AD4" s="358" t="s">
        <v>1365</v>
      </c>
      <c r="AE4" s="358" t="s">
        <v>1367</v>
      </c>
      <c r="AF4" s="169">
        <v>1800</v>
      </c>
      <c r="AG4" s="165">
        <f t="shared" si="0"/>
        <v>1800.9945945945947</v>
      </c>
      <c r="AH4" s="166">
        <f t="shared" ref="AH4:AH27" si="1">IF(AND(AF4&gt;$AO$4,AF4&lt;=$AP$4),$AN$4,IF(AND(AF4&gt;$AO$5,AF4&lt;=$AP$5),$AN$5,IF(AND(AF4&gt;$AO$6,AF4&lt;=$AP$6),$AN$6,IF(AND(AF4&gt;$AO$7,AF4&lt;=$AP$7),$AN$8,IF(AND(AF4&gt;$AO$8,AF4&lt;=$AP$8),$AN$8,0)))))</f>
        <v>134.08000000000001</v>
      </c>
      <c r="AI4" s="167">
        <f t="shared" ref="AI4:AI27" si="2">IF(AND(AF4&gt;$AO$4,AF4&lt;=$AP$4),$AM$4,IF(AND(AF4&gt;$AO$5,AF4&lt;=$AP$5),$AM$5,IF(AND(AF4&gt;$AO$6,AF4&lt;=$AP$6),$AM$6,IF(AND(AF4&gt;$AO$7,AF4&lt;=$AP$7),$AM$8,IF(AND(AF4&gt;$AO$8,AF4&lt;=$AP$8),$AM$8,0)))))</f>
        <v>7.4999999999999997E-2</v>
      </c>
      <c r="AJ4"/>
      <c r="AK4"/>
      <c r="AL4" s="123" t="s">
        <v>1244</v>
      </c>
      <c r="AM4" s="175">
        <v>0</v>
      </c>
      <c r="AN4" s="283">
        <v>0</v>
      </c>
      <c r="AO4" s="125">
        <v>1</v>
      </c>
      <c r="AP4" s="125">
        <v>1787.77</v>
      </c>
      <c r="AR4" s="322"/>
      <c r="BB4" s="360"/>
      <c r="BC4" s="360"/>
      <c r="BD4" s="360"/>
      <c r="BE4" s="360"/>
      <c r="BF4" s="360"/>
    </row>
    <row r="5" spans="1:62" s="5" customFormat="1" ht="33.75" customHeight="1">
      <c r="A5" s="214"/>
      <c r="B5" s="242" t="s">
        <v>593</v>
      </c>
      <c r="C5" s="449" t="s">
        <v>1355</v>
      </c>
      <c r="D5" s="450"/>
      <c r="E5" s="450"/>
      <c r="F5" s="450"/>
      <c r="G5" s="450"/>
      <c r="H5" s="451"/>
      <c r="I5" s="464"/>
      <c r="J5" s="448"/>
      <c r="K5" s="45"/>
      <c r="L5" s="70" t="s">
        <v>1202</v>
      </c>
      <c r="M5" s="49" t="s">
        <v>1203</v>
      </c>
      <c r="N5" s="49" t="s">
        <v>1204</v>
      </c>
      <c r="O5" s="207"/>
      <c r="P5" s="32" t="s">
        <v>1299</v>
      </c>
      <c r="Q5" s="66" t="s">
        <v>1300</v>
      </c>
      <c r="T5" s="56"/>
      <c r="AB5" s="170">
        <v>3</v>
      </c>
      <c r="AC5" s="170">
        <v>1</v>
      </c>
      <c r="AD5" s="358" t="s">
        <v>1322</v>
      </c>
      <c r="AE5" s="358" t="s">
        <v>1368</v>
      </c>
      <c r="AF5" s="169">
        <v>2900</v>
      </c>
      <c r="AG5" s="165">
        <f t="shared" si="0"/>
        <v>3017.6117647058827</v>
      </c>
      <c r="AH5" s="166">
        <f t="shared" si="1"/>
        <v>335.03</v>
      </c>
      <c r="AI5" s="167">
        <f t="shared" si="2"/>
        <v>0.15</v>
      </c>
      <c r="AJ5"/>
      <c r="AK5"/>
      <c r="AL5" s="123" t="s">
        <v>1246</v>
      </c>
      <c r="AM5" s="175">
        <v>7.4999999999999997E-2</v>
      </c>
      <c r="AN5" s="125">
        <v>134.08000000000001</v>
      </c>
      <c r="AO5" s="125">
        <v>1787.78</v>
      </c>
      <c r="AP5" s="125">
        <v>2679.29</v>
      </c>
      <c r="AR5" s="322"/>
      <c r="BB5" s="360"/>
      <c r="BC5" s="360"/>
      <c r="BD5" s="360"/>
      <c r="BE5" s="360"/>
      <c r="BF5" s="360"/>
    </row>
    <row r="6" spans="1:62" s="5" customFormat="1" ht="25.5" customHeight="1">
      <c r="A6" s="214"/>
      <c r="B6" s="466" t="s">
        <v>594</v>
      </c>
      <c r="C6" s="452" t="s">
        <v>1356</v>
      </c>
      <c r="D6" s="453"/>
      <c r="E6" s="453"/>
      <c r="F6" s="453"/>
      <c r="G6" s="453"/>
      <c r="H6" s="454"/>
      <c r="I6" s="464"/>
      <c r="J6" s="448"/>
      <c r="K6" s="45"/>
      <c r="L6" s="70" t="s">
        <v>1205</v>
      </c>
      <c r="M6" s="50" t="s">
        <v>1203</v>
      </c>
      <c r="N6" s="50" t="s">
        <v>1204</v>
      </c>
      <c r="O6" s="207"/>
      <c r="P6" s="32" t="s">
        <v>1301</v>
      </c>
      <c r="Q6" s="66" t="s">
        <v>1302</v>
      </c>
      <c r="T6" s="56"/>
      <c r="AB6" s="171">
        <v>4</v>
      </c>
      <c r="AC6" s="170">
        <v>3</v>
      </c>
      <c r="AD6" s="358" t="s">
        <v>1365</v>
      </c>
      <c r="AE6" s="358" t="s">
        <v>1369</v>
      </c>
      <c r="AF6" s="169">
        <v>1500</v>
      </c>
      <c r="AG6" s="165">
        <f t="shared" si="0"/>
        <v>1500</v>
      </c>
      <c r="AH6" s="166">
        <f t="shared" si="1"/>
        <v>0</v>
      </c>
      <c r="AI6" s="167">
        <f t="shared" si="2"/>
        <v>0</v>
      </c>
      <c r="AJ6"/>
      <c r="AK6"/>
      <c r="AL6" s="123" t="s">
        <v>1248</v>
      </c>
      <c r="AM6" s="175">
        <v>0.15</v>
      </c>
      <c r="AN6" s="283">
        <v>335.03</v>
      </c>
      <c r="AO6" s="283">
        <v>2679.3</v>
      </c>
      <c r="AP6" s="283">
        <v>3572.43</v>
      </c>
      <c r="AR6" s="322"/>
      <c r="BB6" s="360"/>
      <c r="BC6" s="360"/>
      <c r="BD6" s="360"/>
      <c r="BE6" s="360"/>
      <c r="BF6" s="360"/>
    </row>
    <row r="7" spans="1:62" s="5" customFormat="1" ht="25.5" customHeight="1">
      <c r="A7" s="214"/>
      <c r="B7" s="467"/>
      <c r="C7" s="455"/>
      <c r="D7" s="456"/>
      <c r="E7" s="456"/>
      <c r="F7" s="456"/>
      <c r="G7" s="456"/>
      <c r="H7" s="457"/>
      <c r="I7" s="465"/>
      <c r="J7" s="448"/>
      <c r="K7" s="45"/>
      <c r="L7" s="70" t="s">
        <v>1206</v>
      </c>
      <c r="M7" s="51" t="s">
        <v>1198</v>
      </c>
      <c r="N7" s="49" t="s">
        <v>1199</v>
      </c>
      <c r="O7" s="207"/>
      <c r="P7" s="32" t="s">
        <v>1303</v>
      </c>
      <c r="Q7" s="67" t="s">
        <v>1304</v>
      </c>
      <c r="T7" s="56"/>
      <c r="AB7" s="170">
        <v>5</v>
      </c>
      <c r="AC7" s="170">
        <v>3</v>
      </c>
      <c r="AD7" s="358" t="s">
        <v>1322</v>
      </c>
      <c r="AE7" s="358" t="s">
        <v>1370</v>
      </c>
      <c r="AF7" s="169">
        <v>2700</v>
      </c>
      <c r="AG7" s="165">
        <f t="shared" si="0"/>
        <v>2782.3176470588237</v>
      </c>
      <c r="AH7" s="166">
        <f t="shared" si="1"/>
        <v>335.03</v>
      </c>
      <c r="AI7" s="167">
        <f t="shared" si="2"/>
        <v>0.15</v>
      </c>
      <c r="AJ7"/>
      <c r="AK7"/>
      <c r="AL7" s="123" t="s">
        <v>1249</v>
      </c>
      <c r="AM7" s="175">
        <v>0.22500000000000001</v>
      </c>
      <c r="AN7" s="283">
        <v>602.96</v>
      </c>
      <c r="AO7" s="283">
        <v>3572.44</v>
      </c>
      <c r="AP7" s="283">
        <v>4463.8100000000004</v>
      </c>
      <c r="AR7" s="322"/>
      <c r="BB7" s="360"/>
      <c r="BC7" s="360"/>
      <c r="BD7" s="360"/>
      <c r="BE7" s="360"/>
      <c r="BF7" s="360"/>
    </row>
    <row r="8" spans="1:62" s="5" customFormat="1" ht="25.5" customHeight="1">
      <c r="A8" s="214"/>
      <c r="B8" s="6" t="s">
        <v>595</v>
      </c>
      <c r="C8" s="425" t="s">
        <v>674</v>
      </c>
      <c r="D8" s="425"/>
      <c r="E8" s="425"/>
      <c r="F8" s="425"/>
      <c r="G8" s="425"/>
      <c r="H8" s="425"/>
      <c r="I8" s="425"/>
      <c r="J8" s="426"/>
      <c r="K8" s="45"/>
      <c r="L8" s="70" t="s">
        <v>1207</v>
      </c>
      <c r="M8" s="52" t="s">
        <v>1208</v>
      </c>
      <c r="N8" s="49" t="s">
        <v>1209</v>
      </c>
      <c r="O8" s="207"/>
      <c r="P8" s="32" t="s">
        <v>1305</v>
      </c>
      <c r="Q8" s="67" t="s">
        <v>1306</v>
      </c>
      <c r="T8" s="56"/>
      <c r="AB8" s="171">
        <v>6</v>
      </c>
      <c r="AC8" s="171"/>
      <c r="AD8" s="168"/>
      <c r="AE8" s="168"/>
      <c r="AF8" s="169"/>
      <c r="AG8" s="165">
        <f t="shared" si="0"/>
        <v>0</v>
      </c>
      <c r="AH8" s="166">
        <f t="shared" si="1"/>
        <v>0</v>
      </c>
      <c r="AI8" s="167">
        <f t="shared" si="2"/>
        <v>0</v>
      </c>
      <c r="AJ8"/>
      <c r="AK8"/>
      <c r="AL8" s="123" t="s">
        <v>1251</v>
      </c>
      <c r="AM8" s="175">
        <v>0.27500000000000002</v>
      </c>
      <c r="AN8" s="283">
        <v>826.15</v>
      </c>
      <c r="AO8" s="283">
        <v>4463.82</v>
      </c>
      <c r="AP8" s="283">
        <v>1000000</v>
      </c>
      <c r="AR8" s="322"/>
      <c r="BB8" s="360"/>
      <c r="BC8" s="360"/>
      <c r="BD8" s="360"/>
      <c r="BE8" s="360"/>
      <c r="BF8" s="360"/>
    </row>
    <row r="9" spans="1:62" s="5" customFormat="1" ht="25.5" customHeight="1" thickBot="1">
      <c r="A9" s="214"/>
      <c r="B9" s="6" t="s">
        <v>596</v>
      </c>
      <c r="C9" s="425" t="s">
        <v>412</v>
      </c>
      <c r="D9" s="425"/>
      <c r="E9" s="425"/>
      <c r="F9" s="425"/>
      <c r="G9" s="425"/>
      <c r="H9" s="425"/>
      <c r="I9" s="425"/>
      <c r="J9" s="426"/>
      <c r="K9" s="45"/>
      <c r="L9" s="70" t="s">
        <v>1210</v>
      </c>
      <c r="M9" s="52" t="s">
        <v>1204</v>
      </c>
      <c r="N9" s="49" t="s">
        <v>1208</v>
      </c>
      <c r="O9" s="208"/>
      <c r="P9" s="14"/>
      <c r="Q9" s="54"/>
      <c r="T9" s="56"/>
      <c r="AB9" s="170">
        <v>7</v>
      </c>
      <c r="AC9" s="170"/>
      <c r="AD9" s="168"/>
      <c r="AE9" s="168"/>
      <c r="AF9" s="169"/>
      <c r="AG9" s="165">
        <f t="shared" si="0"/>
        <v>0</v>
      </c>
      <c r="AH9" s="166">
        <f t="shared" si="1"/>
        <v>0</v>
      </c>
      <c r="AI9" s="167">
        <f t="shared" si="2"/>
        <v>0</v>
      </c>
      <c r="AJ9"/>
      <c r="AK9"/>
      <c r="AL9"/>
      <c r="AM9"/>
      <c r="AN9"/>
      <c r="AO9"/>
      <c r="AP9"/>
      <c r="AR9" s="322"/>
      <c r="BB9" s="360"/>
      <c r="BC9" s="360"/>
      <c r="BD9" s="360"/>
      <c r="BE9" s="360"/>
      <c r="BF9" s="360"/>
    </row>
    <row r="10" spans="1:62" s="5" customFormat="1" ht="25.5" customHeight="1">
      <c r="A10" s="214"/>
      <c r="B10" s="242" t="s">
        <v>1130</v>
      </c>
      <c r="C10" s="427" t="s">
        <v>1357</v>
      </c>
      <c r="D10" s="428"/>
      <c r="E10" s="428"/>
      <c r="F10" s="428"/>
      <c r="G10" s="428"/>
      <c r="H10" s="428"/>
      <c r="I10" s="428"/>
      <c r="J10" s="429"/>
      <c r="K10" s="45"/>
      <c r="L10" s="70" t="s">
        <v>1211</v>
      </c>
      <c r="M10" s="52" t="s">
        <v>1212</v>
      </c>
      <c r="N10" s="49" t="s">
        <v>1213</v>
      </c>
      <c r="O10" s="208"/>
      <c r="P10" s="14"/>
      <c r="AB10" s="171">
        <v>8</v>
      </c>
      <c r="AC10" s="171"/>
      <c r="AD10" s="168"/>
      <c r="AE10" s="168"/>
      <c r="AF10" s="169"/>
      <c r="AG10" s="165">
        <f t="shared" si="0"/>
        <v>0</v>
      </c>
      <c r="AH10" s="166">
        <f t="shared" si="1"/>
        <v>0</v>
      </c>
      <c r="AI10" s="167">
        <f t="shared" si="2"/>
        <v>0</v>
      </c>
      <c r="AJ10"/>
      <c r="AK10"/>
      <c r="AL10"/>
      <c r="AM10" s="473">
        <v>1</v>
      </c>
      <c r="AN10" s="300" t="s">
        <v>1124</v>
      </c>
      <c r="AO10" s="168" t="s">
        <v>1365</v>
      </c>
      <c r="AP10" s="169">
        <v>5171.55</v>
      </c>
      <c r="AQ10" s="301"/>
      <c r="AR10" s="322"/>
      <c r="AT10" s="5">
        <f>SUMIF(AD$3:AD$27,AO10,AG$3:AG$27)</f>
        <v>6671.5475357710657</v>
      </c>
      <c r="BB10" s="360"/>
      <c r="BC10" s="360"/>
      <c r="BD10" s="360"/>
      <c r="BE10" s="360"/>
      <c r="BF10" s="360"/>
    </row>
    <row r="11" spans="1:62" s="5" customFormat="1" ht="25.5" customHeight="1" thickBot="1">
      <c r="A11" s="214"/>
      <c r="B11" s="388" t="s">
        <v>597</v>
      </c>
      <c r="C11" s="389"/>
      <c r="D11" s="389"/>
      <c r="E11" s="389"/>
      <c r="F11" s="389"/>
      <c r="G11" s="389"/>
      <c r="H11" s="389"/>
      <c r="I11" s="389"/>
      <c r="J11" s="390"/>
      <c r="K11" s="45"/>
      <c r="L11" s="70" t="s">
        <v>1214</v>
      </c>
      <c r="M11" s="51" t="s">
        <v>1215</v>
      </c>
      <c r="N11" s="51" t="s">
        <v>1216</v>
      </c>
      <c r="O11" s="208"/>
      <c r="P11" s="14"/>
      <c r="AB11" s="170">
        <v>9</v>
      </c>
      <c r="AC11" s="170"/>
      <c r="AD11" s="168"/>
      <c r="AE11" s="168"/>
      <c r="AF11" s="169"/>
      <c r="AG11" s="165">
        <f t="shared" si="0"/>
        <v>0</v>
      </c>
      <c r="AH11" s="166">
        <f t="shared" si="1"/>
        <v>0</v>
      </c>
      <c r="AI11" s="167">
        <f t="shared" si="2"/>
        <v>0</v>
      </c>
      <c r="AJ11"/>
      <c r="AK11"/>
      <c r="AL11" s="162"/>
      <c r="AM11" s="474"/>
      <c r="AN11" s="300" t="s">
        <v>624</v>
      </c>
      <c r="AO11" s="168" t="s">
        <v>1322</v>
      </c>
      <c r="AP11" s="169">
        <v>3017.6117647058827</v>
      </c>
      <c r="AQ11" s="301"/>
      <c r="AR11" s="322"/>
      <c r="AT11" s="5">
        <f>SUMIF(AD$3:AD$27,AO11,AG$3:AG$27)</f>
        <v>5799.9294117647059</v>
      </c>
      <c r="BB11" s="360"/>
      <c r="BC11" s="360"/>
      <c r="BD11" s="360"/>
      <c r="BE11" s="360"/>
      <c r="BF11" s="360"/>
    </row>
    <row r="12" spans="1:62" s="7" customFormat="1" ht="25.5" customHeight="1" thickBot="1">
      <c r="A12" s="214"/>
      <c r="B12" s="242" t="s">
        <v>1169</v>
      </c>
      <c r="C12" s="201"/>
      <c r="D12" s="201" t="s">
        <v>1135</v>
      </c>
      <c r="E12" s="201"/>
      <c r="F12" s="202"/>
      <c r="G12" s="202"/>
      <c r="H12" s="202"/>
      <c r="I12" s="202"/>
      <c r="J12" s="202"/>
      <c r="K12" s="45" t="str">
        <f>IF(COUNTIF(C12:J12,"X")&gt;0,"OK","N.OK")</f>
        <v>OK</v>
      </c>
      <c r="L12" s="70" t="s">
        <v>1217</v>
      </c>
      <c r="M12" s="51" t="s">
        <v>1208</v>
      </c>
      <c r="N12" s="51" t="s">
        <v>1209</v>
      </c>
      <c r="O12" s="208"/>
      <c r="P12" s="14"/>
      <c r="AB12" s="171">
        <v>10</v>
      </c>
      <c r="AC12" s="171"/>
      <c r="AD12" s="168"/>
      <c r="AE12" s="168"/>
      <c r="AF12" s="169"/>
      <c r="AG12" s="165">
        <f t="shared" si="0"/>
        <v>0</v>
      </c>
      <c r="AH12" s="166">
        <f t="shared" si="1"/>
        <v>0</v>
      </c>
      <c r="AI12" s="167">
        <f t="shared" si="2"/>
        <v>0</v>
      </c>
      <c r="AJ12"/>
      <c r="AK12"/>
      <c r="AL12" s="162"/>
      <c r="AM12"/>
      <c r="AN12"/>
      <c r="AO12"/>
      <c r="AP12"/>
      <c r="AR12" s="323"/>
      <c r="BB12" s="361"/>
      <c r="BC12" s="361"/>
      <c r="BD12" s="361"/>
      <c r="BE12" s="361"/>
      <c r="BF12" s="361"/>
      <c r="BJ12" s="365"/>
    </row>
    <row r="13" spans="1:62" s="7" customFormat="1" ht="31.5" customHeight="1">
      <c r="A13" s="214"/>
      <c r="B13" s="68" t="s">
        <v>1132</v>
      </c>
      <c r="C13" s="198" t="s">
        <v>1206</v>
      </c>
      <c r="D13" s="198" t="s">
        <v>1223</v>
      </c>
      <c r="E13" s="198" t="s">
        <v>1202</v>
      </c>
      <c r="F13" s="197" t="s">
        <v>1206</v>
      </c>
      <c r="G13" s="197" t="s">
        <v>1200</v>
      </c>
      <c r="H13" s="197" t="s">
        <v>1206</v>
      </c>
      <c r="I13" s="197" t="s">
        <v>1223</v>
      </c>
      <c r="J13" s="197" t="s">
        <v>1202</v>
      </c>
      <c r="K13" s="45"/>
      <c r="L13" s="70" t="s">
        <v>1325</v>
      </c>
      <c r="M13" s="51" t="s">
        <v>1212</v>
      </c>
      <c r="N13" s="51" t="s">
        <v>1213</v>
      </c>
      <c r="O13" s="208"/>
      <c r="P13" s="14"/>
      <c r="AB13" s="170">
        <v>11</v>
      </c>
      <c r="AC13" s="170"/>
      <c r="AD13" s="168"/>
      <c r="AE13" s="168"/>
      <c r="AF13" s="169"/>
      <c r="AG13" s="165">
        <f t="shared" si="0"/>
        <v>0</v>
      </c>
      <c r="AH13" s="166">
        <f t="shared" si="1"/>
        <v>0</v>
      </c>
      <c r="AI13" s="167">
        <f t="shared" si="2"/>
        <v>0</v>
      </c>
      <c r="AJ13"/>
      <c r="AK13"/>
      <c r="AM13" s="473">
        <v>2</v>
      </c>
      <c r="AN13" s="300" t="s">
        <v>1124</v>
      </c>
      <c r="AO13" s="168" t="s">
        <v>1365</v>
      </c>
      <c r="AP13" s="169"/>
      <c r="AR13" s="323"/>
      <c r="BB13" s="361"/>
      <c r="BC13" s="361"/>
      <c r="BD13" s="361"/>
      <c r="BE13" s="361"/>
      <c r="BF13" s="361"/>
    </row>
    <row r="14" spans="1:62" s="7" customFormat="1" ht="25.5" customHeight="1" thickBot="1">
      <c r="A14" s="214"/>
      <c r="B14" s="242" t="s">
        <v>1277</v>
      </c>
      <c r="C14" s="191">
        <v>10</v>
      </c>
      <c r="D14" s="191">
        <v>2</v>
      </c>
      <c r="E14" s="191">
        <v>3</v>
      </c>
      <c r="F14" s="199">
        <v>12</v>
      </c>
      <c r="G14" s="199">
        <v>12</v>
      </c>
      <c r="H14" s="199">
        <v>12</v>
      </c>
      <c r="I14" s="199">
        <v>2</v>
      </c>
      <c r="J14" s="199">
        <v>3</v>
      </c>
      <c r="K14" s="45"/>
      <c r="L14" s="70" t="s">
        <v>1218</v>
      </c>
      <c r="M14" s="51" t="s">
        <v>1203</v>
      </c>
      <c r="N14" s="51" t="s">
        <v>1204</v>
      </c>
      <c r="O14" s="208"/>
      <c r="P14" s="14"/>
      <c r="AB14" s="171">
        <v>12</v>
      </c>
      <c r="AC14" s="171"/>
      <c r="AD14" s="168"/>
      <c r="AE14" s="168"/>
      <c r="AF14" s="169"/>
      <c r="AG14" s="165">
        <f t="shared" si="0"/>
        <v>0</v>
      </c>
      <c r="AH14" s="166">
        <f t="shared" si="1"/>
        <v>0</v>
      </c>
      <c r="AI14" s="167">
        <f t="shared" si="2"/>
        <v>0</v>
      </c>
      <c r="AJ14"/>
      <c r="AK14"/>
      <c r="AL14"/>
      <c r="AM14" s="474"/>
      <c r="AN14" s="300" t="s">
        <v>624</v>
      </c>
      <c r="AO14" s="168" t="s">
        <v>1322</v>
      </c>
      <c r="AP14" s="169"/>
      <c r="AR14" s="323"/>
      <c r="BB14" s="361"/>
      <c r="BC14" s="361"/>
      <c r="BD14" s="361"/>
      <c r="BE14" s="361"/>
      <c r="BF14" s="361"/>
    </row>
    <row r="15" spans="1:62" s="5" customFormat="1" ht="25.5" customHeight="1" thickBot="1">
      <c r="A15" s="214"/>
      <c r="B15" s="69" t="s">
        <v>599</v>
      </c>
      <c r="C15" s="196" t="s">
        <v>1290</v>
      </c>
      <c r="D15" s="196" t="s">
        <v>1290</v>
      </c>
      <c r="E15" s="196" t="s">
        <v>1307</v>
      </c>
      <c r="F15" s="196" t="s">
        <v>1290</v>
      </c>
      <c r="G15" s="195" t="s">
        <v>1290</v>
      </c>
      <c r="H15" s="195" t="s">
        <v>1290</v>
      </c>
      <c r="I15" s="195" t="s">
        <v>1290</v>
      </c>
      <c r="J15" s="195" t="s">
        <v>1307</v>
      </c>
      <c r="K15" s="45"/>
      <c r="L15" s="70" t="s">
        <v>1219</v>
      </c>
      <c r="M15" s="48" t="s">
        <v>1198</v>
      </c>
      <c r="N15" s="49" t="s">
        <v>1208</v>
      </c>
      <c r="O15" s="208"/>
      <c r="P15" s="14"/>
      <c r="AB15" s="170">
        <v>13</v>
      </c>
      <c r="AC15" s="170"/>
      <c r="AD15" s="168"/>
      <c r="AE15" s="168"/>
      <c r="AF15" s="169"/>
      <c r="AG15" s="165">
        <f t="shared" si="0"/>
        <v>0</v>
      </c>
      <c r="AH15" s="166">
        <f t="shared" si="1"/>
        <v>0</v>
      </c>
      <c r="AI15" s="167">
        <f t="shared" si="2"/>
        <v>0</v>
      </c>
      <c r="AJ15"/>
      <c r="AK15"/>
      <c r="AL15"/>
      <c r="AM15"/>
      <c r="AN15"/>
      <c r="AO15"/>
      <c r="AP15"/>
      <c r="AR15" s="322"/>
      <c r="BB15" s="360"/>
      <c r="BC15" s="360"/>
      <c r="BD15" s="360"/>
      <c r="BE15" s="360"/>
      <c r="BF15" s="360"/>
    </row>
    <row r="16" spans="1:62" s="5" customFormat="1" ht="25.5" customHeight="1">
      <c r="A16" s="214"/>
      <c r="B16" s="243" t="s">
        <v>588</v>
      </c>
      <c r="C16" s="244">
        <f>IF(C$15&lt;&gt;"",(VLOOKUP(C$15,$S$3:$T$4,2,FALSE))*100%,"")</f>
        <v>9.2499999999999999E-2</v>
      </c>
      <c r="D16" s="244">
        <f>IF(D$15&lt;&gt;"",(VLOOKUP(D$15,$S$3:$T$4,2,FALSE))*100%,"")</f>
        <v>9.2499999999999999E-2</v>
      </c>
      <c r="E16" s="244">
        <f t="shared" ref="E16:J16" si="3">IF(E$15&lt;&gt;"",(VLOOKUP(E$15,$S$3:$T$4,2,FALSE))*100%,"")</f>
        <v>0.14249999999999999</v>
      </c>
      <c r="F16" s="244">
        <f t="shared" si="3"/>
        <v>9.2499999999999999E-2</v>
      </c>
      <c r="G16" s="244">
        <f t="shared" si="3"/>
        <v>9.2499999999999999E-2</v>
      </c>
      <c r="H16" s="244">
        <f t="shared" si="3"/>
        <v>9.2499999999999999E-2</v>
      </c>
      <c r="I16" s="244">
        <f t="shared" si="3"/>
        <v>9.2499999999999999E-2</v>
      </c>
      <c r="J16" s="244">
        <f t="shared" si="3"/>
        <v>0.14249999999999999</v>
      </c>
      <c r="K16" s="45"/>
      <c r="L16" s="70" t="s">
        <v>1220</v>
      </c>
      <c r="M16" s="50" t="s">
        <v>1209</v>
      </c>
      <c r="N16" s="50" t="s">
        <v>1221</v>
      </c>
      <c r="O16" s="208"/>
      <c r="P16" s="14"/>
      <c r="AB16" s="171">
        <v>14</v>
      </c>
      <c r="AC16" s="171"/>
      <c r="AD16" s="168"/>
      <c r="AE16" s="168"/>
      <c r="AF16" s="169"/>
      <c r="AG16" s="165">
        <f t="shared" si="0"/>
        <v>0</v>
      </c>
      <c r="AH16" s="166">
        <f t="shared" si="1"/>
        <v>0</v>
      </c>
      <c r="AI16" s="167">
        <f t="shared" si="2"/>
        <v>0</v>
      </c>
      <c r="AJ16"/>
      <c r="AK16"/>
      <c r="AL16"/>
      <c r="AM16" s="473">
        <v>3</v>
      </c>
      <c r="AN16" s="300" t="s">
        <v>1124</v>
      </c>
      <c r="AO16" s="168" t="s">
        <v>1365</v>
      </c>
      <c r="AP16" s="169">
        <v>1500</v>
      </c>
      <c r="AR16" s="322"/>
      <c r="BB16" s="360"/>
      <c r="BC16" s="360"/>
      <c r="BD16" s="360"/>
      <c r="BE16" s="360"/>
      <c r="BF16" s="360"/>
    </row>
    <row r="17" spans="1:197" s="5" customFormat="1" ht="25.5" customHeight="1" thickBot="1">
      <c r="A17" s="214"/>
      <c r="B17" s="6" t="s">
        <v>601</v>
      </c>
      <c r="C17" s="192" t="s">
        <v>515</v>
      </c>
      <c r="D17" s="192" t="s">
        <v>1127</v>
      </c>
      <c r="E17" s="192" t="s">
        <v>514</v>
      </c>
      <c r="F17" s="192" t="s">
        <v>513</v>
      </c>
      <c r="G17" s="192" t="s">
        <v>1127</v>
      </c>
      <c r="H17" s="192" t="s">
        <v>514</v>
      </c>
      <c r="I17" s="192" t="s">
        <v>515</v>
      </c>
      <c r="J17" s="192" t="s">
        <v>513</v>
      </c>
      <c r="K17" s="45"/>
      <c r="L17" s="70" t="s">
        <v>1222</v>
      </c>
      <c r="M17" s="53" t="s">
        <v>1212</v>
      </c>
      <c r="N17" s="51" t="s">
        <v>1213</v>
      </c>
      <c r="O17" s="208"/>
      <c r="P17" s="14"/>
      <c r="AB17" s="170">
        <v>15</v>
      </c>
      <c r="AC17" s="170"/>
      <c r="AD17" s="168"/>
      <c r="AE17" s="168"/>
      <c r="AF17" s="169"/>
      <c r="AG17" s="165">
        <f t="shared" si="0"/>
        <v>0</v>
      </c>
      <c r="AH17" s="166">
        <f t="shared" si="1"/>
        <v>0</v>
      </c>
      <c r="AI17" s="167">
        <f t="shared" si="2"/>
        <v>0</v>
      </c>
      <c r="AJ17"/>
      <c r="AK17"/>
      <c r="AL17"/>
      <c r="AM17" s="474"/>
      <c r="AN17" s="300" t="s">
        <v>624</v>
      </c>
      <c r="AO17" s="168" t="s">
        <v>1322</v>
      </c>
      <c r="AP17" s="169">
        <v>2782.3176470588237</v>
      </c>
      <c r="AR17" s="322"/>
      <c r="BB17" s="360"/>
      <c r="BC17" s="360"/>
      <c r="BD17" s="360"/>
      <c r="BE17" s="360"/>
      <c r="BF17" s="360"/>
    </row>
    <row r="18" spans="1:197" s="5" customFormat="1" ht="25.5" customHeight="1" thickBot="1">
      <c r="A18" s="214"/>
      <c r="B18" s="242" t="s">
        <v>603</v>
      </c>
      <c r="C18" s="193">
        <v>10000</v>
      </c>
      <c r="D18" s="193">
        <v>15000</v>
      </c>
      <c r="E18" s="193">
        <v>38000</v>
      </c>
      <c r="F18" s="193">
        <v>22000</v>
      </c>
      <c r="G18" s="193">
        <v>35000</v>
      </c>
      <c r="H18" s="193">
        <v>38000</v>
      </c>
      <c r="I18" s="193">
        <v>10000</v>
      </c>
      <c r="J18" s="193">
        <v>25000</v>
      </c>
      <c r="K18" s="45"/>
      <c r="L18" s="70" t="s">
        <v>1223</v>
      </c>
      <c r="M18" s="50" t="s">
        <v>1212</v>
      </c>
      <c r="N18" s="50" t="s">
        <v>1213</v>
      </c>
      <c r="O18" s="208"/>
      <c r="P18" s="14"/>
      <c r="AB18" s="171">
        <v>16</v>
      </c>
      <c r="AC18" s="171"/>
      <c r="AD18" s="168"/>
      <c r="AE18" s="168"/>
      <c r="AF18" s="169"/>
      <c r="AG18" s="165">
        <f t="shared" si="0"/>
        <v>0</v>
      </c>
      <c r="AH18" s="166">
        <f t="shared" si="1"/>
        <v>0</v>
      </c>
      <c r="AI18" s="167">
        <f t="shared" si="2"/>
        <v>0</v>
      </c>
      <c r="AJ18"/>
      <c r="AK18"/>
      <c r="AL18"/>
      <c r="AM18"/>
      <c r="AN18"/>
      <c r="AO18"/>
      <c r="AP18"/>
      <c r="AR18" s="322"/>
      <c r="BB18" s="360"/>
      <c r="BC18" s="360"/>
      <c r="BD18" s="360"/>
      <c r="BE18" s="360"/>
      <c r="BF18" s="360"/>
    </row>
    <row r="19" spans="1:197" s="27" customFormat="1" ht="30.75" customHeight="1">
      <c r="A19" s="214"/>
      <c r="B19" s="242" t="s">
        <v>604</v>
      </c>
      <c r="C19" s="194" t="s">
        <v>1358</v>
      </c>
      <c r="D19" s="194" t="s">
        <v>1358</v>
      </c>
      <c r="E19" s="194" t="s">
        <v>1358</v>
      </c>
      <c r="F19" s="194" t="s">
        <v>1326</v>
      </c>
      <c r="G19" s="194" t="s">
        <v>1361</v>
      </c>
      <c r="H19" s="194" t="s">
        <v>1358</v>
      </c>
      <c r="I19" s="194" t="s">
        <v>1358</v>
      </c>
      <c r="J19" s="194" t="s">
        <v>1326</v>
      </c>
      <c r="K19" s="47"/>
      <c r="L19" s="71" t="s">
        <v>1224</v>
      </c>
      <c r="M19" s="50" t="s">
        <v>1225</v>
      </c>
      <c r="N19" s="50" t="s">
        <v>1212</v>
      </c>
      <c r="O19" s="209"/>
      <c r="P19" s="28"/>
      <c r="AB19" s="170">
        <v>17</v>
      </c>
      <c r="AC19" s="170"/>
      <c r="AD19" s="168"/>
      <c r="AE19" s="168"/>
      <c r="AF19" s="169"/>
      <c r="AG19" s="165">
        <f t="shared" si="0"/>
        <v>0</v>
      </c>
      <c r="AH19" s="166">
        <f t="shared" si="1"/>
        <v>0</v>
      </c>
      <c r="AI19" s="167">
        <f t="shared" si="2"/>
        <v>0</v>
      </c>
      <c r="AJ19"/>
      <c r="AK19"/>
      <c r="AL19"/>
      <c r="AM19" s="473">
        <v>4</v>
      </c>
      <c r="AN19" s="300" t="s">
        <v>1124</v>
      </c>
      <c r="AO19" s="168" t="s">
        <v>1365</v>
      </c>
      <c r="AP19" s="169"/>
      <c r="AR19" s="324"/>
      <c r="BB19" s="362"/>
      <c r="BC19" s="362"/>
      <c r="BD19" s="362"/>
      <c r="BE19" s="362"/>
      <c r="BF19" s="362"/>
    </row>
    <row r="20" spans="1:197" s="5" customFormat="1" ht="25.5" customHeight="1" thickBot="1">
      <c r="A20" s="214"/>
      <c r="B20" s="6" t="s">
        <v>605</v>
      </c>
      <c r="C20" s="188" t="s">
        <v>1291</v>
      </c>
      <c r="D20" s="188" t="s">
        <v>1297</v>
      </c>
      <c r="E20" s="188" t="s">
        <v>1301</v>
      </c>
      <c r="F20" s="188" t="s">
        <v>1291</v>
      </c>
      <c r="G20" s="188" t="s">
        <v>1291</v>
      </c>
      <c r="H20" s="188" t="s">
        <v>1301</v>
      </c>
      <c r="I20" s="188" t="s">
        <v>1291</v>
      </c>
      <c r="J20" s="188" t="s">
        <v>1291</v>
      </c>
      <c r="K20" s="45"/>
      <c r="L20" s="71" t="s">
        <v>1226</v>
      </c>
      <c r="M20" s="53" t="s">
        <v>1212</v>
      </c>
      <c r="N20" s="53" t="s">
        <v>1213</v>
      </c>
      <c r="O20" s="208"/>
      <c r="P20" s="14"/>
      <c r="AB20" s="171">
        <v>18</v>
      </c>
      <c r="AC20" s="171"/>
      <c r="AD20" s="168"/>
      <c r="AE20" s="168"/>
      <c r="AF20" s="169"/>
      <c r="AG20" s="165">
        <f t="shared" si="0"/>
        <v>0</v>
      </c>
      <c r="AH20" s="166">
        <f t="shared" si="1"/>
        <v>0</v>
      </c>
      <c r="AI20" s="167">
        <f t="shared" si="2"/>
        <v>0</v>
      </c>
      <c r="AJ20"/>
      <c r="AK20"/>
      <c r="AL20"/>
      <c r="AM20" s="474"/>
      <c r="AN20" s="300" t="s">
        <v>624</v>
      </c>
      <c r="AO20" s="168" t="s">
        <v>1322</v>
      </c>
      <c r="AP20" s="169"/>
      <c r="AR20" s="322"/>
      <c r="BB20" s="360"/>
      <c r="BC20" s="360"/>
      <c r="BD20" s="360"/>
      <c r="BE20" s="360"/>
      <c r="BF20" s="360"/>
    </row>
    <row r="21" spans="1:197" s="5" customFormat="1" ht="25.5" customHeight="1" thickBot="1">
      <c r="A21" s="214"/>
      <c r="B21" s="242" t="s">
        <v>606</v>
      </c>
      <c r="C21" s="189">
        <v>0.15</v>
      </c>
      <c r="D21" s="189" t="s">
        <v>1362</v>
      </c>
      <c r="E21" s="189">
        <v>0.12</v>
      </c>
      <c r="F21" s="189">
        <v>0.12</v>
      </c>
      <c r="G21" s="189">
        <v>0.12</v>
      </c>
      <c r="H21" s="189">
        <v>0.12</v>
      </c>
      <c r="I21" s="189">
        <v>0.2</v>
      </c>
      <c r="J21" s="189">
        <v>0.12</v>
      </c>
      <c r="K21" s="45"/>
      <c r="L21" s="70" t="s">
        <v>1227</v>
      </c>
      <c r="M21" s="53" t="s">
        <v>1225</v>
      </c>
      <c r="N21" s="53" t="s">
        <v>1212</v>
      </c>
      <c r="O21" s="208"/>
      <c r="P21" s="14"/>
      <c r="AB21" s="170">
        <v>19</v>
      </c>
      <c r="AC21" s="170"/>
      <c r="AD21" s="168"/>
      <c r="AE21" s="168"/>
      <c r="AF21" s="169"/>
      <c r="AG21" s="165">
        <f t="shared" si="0"/>
        <v>0</v>
      </c>
      <c r="AH21" s="166">
        <f t="shared" si="1"/>
        <v>0</v>
      </c>
      <c r="AI21" s="167">
        <f t="shared" si="2"/>
        <v>0</v>
      </c>
      <c r="AJ21"/>
      <c r="AK21"/>
      <c r="AL21"/>
      <c r="AM21"/>
      <c r="AN21"/>
      <c r="AO21"/>
      <c r="AP21"/>
      <c r="AR21" s="322"/>
      <c r="BB21" s="360"/>
      <c r="BC21" s="360"/>
      <c r="BD21" s="360"/>
      <c r="BE21" s="360"/>
      <c r="BF21" s="360"/>
    </row>
    <row r="22" spans="1:197" s="5" customFormat="1" ht="25.5" customHeight="1">
      <c r="A22" s="214"/>
      <c r="B22" s="242" t="s">
        <v>607</v>
      </c>
      <c r="C22" s="190"/>
      <c r="D22" s="190"/>
      <c r="E22" s="190"/>
      <c r="F22" s="190"/>
      <c r="G22" s="190"/>
      <c r="H22" s="190"/>
      <c r="I22" s="190"/>
      <c r="J22" s="190"/>
      <c r="K22" s="45"/>
      <c r="L22" s="70"/>
      <c r="M22" s="53"/>
      <c r="N22" s="53"/>
      <c r="O22" s="208"/>
      <c r="P22" s="14"/>
      <c r="AB22" s="171">
        <v>20</v>
      </c>
      <c r="AC22" s="171"/>
      <c r="AD22" s="168"/>
      <c r="AE22" s="168"/>
      <c r="AF22" s="169"/>
      <c r="AG22" s="165">
        <f t="shared" si="0"/>
        <v>0</v>
      </c>
      <c r="AH22" s="166">
        <f t="shared" si="1"/>
        <v>0</v>
      </c>
      <c r="AI22" s="167">
        <f t="shared" si="2"/>
        <v>0</v>
      </c>
      <c r="AJ22"/>
      <c r="AK22"/>
      <c r="AL22"/>
      <c r="AM22" s="473">
        <v>5</v>
      </c>
      <c r="AN22" s="300" t="s">
        <v>1124</v>
      </c>
      <c r="AO22" s="168" t="s">
        <v>1365</v>
      </c>
      <c r="AP22" s="169"/>
      <c r="AR22" s="322"/>
      <c r="BB22" s="360"/>
      <c r="BC22" s="360"/>
      <c r="BD22" s="360"/>
      <c r="BE22" s="360"/>
      <c r="BF22" s="360"/>
    </row>
    <row r="23" spans="1:197" s="5" customFormat="1" ht="25.5" customHeight="1" thickBot="1">
      <c r="A23" s="214"/>
      <c r="B23" s="242" t="s">
        <v>608</v>
      </c>
      <c r="C23" s="191"/>
      <c r="D23" s="191"/>
      <c r="E23" s="191"/>
      <c r="F23" s="191"/>
      <c r="G23" s="191"/>
      <c r="H23" s="191"/>
      <c r="I23" s="191"/>
      <c r="J23" s="191"/>
      <c r="K23" s="45"/>
      <c r="L23" s="70"/>
      <c r="M23" s="53"/>
      <c r="N23" s="53"/>
      <c r="O23" s="208"/>
      <c r="P23" s="14"/>
      <c r="AB23" s="170">
        <v>21</v>
      </c>
      <c r="AC23" s="170"/>
      <c r="AD23" s="168"/>
      <c r="AE23" s="168"/>
      <c r="AF23" s="169"/>
      <c r="AG23" s="165">
        <f t="shared" si="0"/>
        <v>0</v>
      </c>
      <c r="AH23" s="166">
        <f t="shared" si="1"/>
        <v>0</v>
      </c>
      <c r="AI23" s="167">
        <f t="shared" si="2"/>
        <v>0</v>
      </c>
      <c r="AJ23"/>
      <c r="AK23"/>
      <c r="AL23"/>
      <c r="AM23" s="474"/>
      <c r="AN23" s="300" t="s">
        <v>624</v>
      </c>
      <c r="AO23" s="168" t="s">
        <v>1322</v>
      </c>
      <c r="AP23" s="169"/>
      <c r="AR23" s="322"/>
      <c r="BB23" s="360"/>
      <c r="BC23" s="360"/>
      <c r="BD23" s="360"/>
      <c r="BE23" s="360"/>
      <c r="BF23" s="360"/>
    </row>
    <row r="24" spans="1:197" s="8" customFormat="1" ht="25.5" customHeight="1" thickBot="1">
      <c r="A24" s="214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208"/>
      <c r="P24" s="14"/>
      <c r="AB24" s="171">
        <v>22</v>
      </c>
      <c r="AC24" s="171"/>
      <c r="AD24" s="168"/>
      <c r="AE24" s="168"/>
      <c r="AF24" s="169"/>
      <c r="AG24" s="165">
        <f t="shared" si="0"/>
        <v>0</v>
      </c>
      <c r="AH24" s="166">
        <f t="shared" si="1"/>
        <v>0</v>
      </c>
      <c r="AI24" s="167">
        <f t="shared" si="2"/>
        <v>0</v>
      </c>
      <c r="AJ24"/>
      <c r="AK24"/>
      <c r="AL24"/>
      <c r="AR24" s="322"/>
      <c r="BB24" s="360"/>
      <c r="BC24" s="360"/>
      <c r="BD24" s="360"/>
      <c r="BE24" s="360"/>
      <c r="BF24" s="360"/>
    </row>
    <row r="25" spans="1:197" s="8" customFormat="1" ht="25.5" customHeight="1">
      <c r="A25" s="214"/>
      <c r="B25" s="242" t="s">
        <v>1165</v>
      </c>
      <c r="C25" s="186" t="s">
        <v>518</v>
      </c>
      <c r="D25" s="186" t="s">
        <v>546</v>
      </c>
      <c r="E25" s="186"/>
      <c r="F25" s="186"/>
      <c r="G25" s="186"/>
      <c r="H25" s="186"/>
      <c r="I25" s="186"/>
      <c r="J25" s="186"/>
      <c r="K25" s="45"/>
      <c r="L25" s="70"/>
      <c r="M25" s="53"/>
      <c r="N25" s="53"/>
      <c r="O25" s="208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70"/>
      <c r="AD25" s="168"/>
      <c r="AE25" s="168"/>
      <c r="AF25" s="169"/>
      <c r="AG25" s="165">
        <f t="shared" si="0"/>
        <v>0</v>
      </c>
      <c r="AH25" s="166">
        <f t="shared" si="1"/>
        <v>0</v>
      </c>
      <c r="AI25" s="167">
        <f t="shared" si="2"/>
        <v>0</v>
      </c>
      <c r="AJ25"/>
      <c r="AK25"/>
      <c r="AL25"/>
      <c r="AM25" s="473">
        <v>6</v>
      </c>
      <c r="AN25" s="300" t="s">
        <v>1124</v>
      </c>
      <c r="AO25" s="168" t="s">
        <v>1365</v>
      </c>
      <c r="AP25" s="169"/>
      <c r="AQ25" s="20"/>
      <c r="AR25" s="325"/>
      <c r="AS25" s="20"/>
      <c r="AT25" s="20"/>
      <c r="AU25" s="20"/>
      <c r="AV25" s="20"/>
      <c r="AW25" s="20"/>
      <c r="AX25" s="20"/>
      <c r="AY25" s="20"/>
      <c r="AZ25" s="20"/>
      <c r="BA25" s="20"/>
      <c r="BB25" s="363"/>
      <c r="BC25" s="363"/>
      <c r="BD25" s="363"/>
      <c r="BE25" s="363"/>
      <c r="BF25" s="363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</row>
    <row r="26" spans="1:197" s="8" customFormat="1" ht="25.5" customHeight="1" thickBot="1">
      <c r="A26" s="214"/>
      <c r="B26" s="242" t="s">
        <v>1166</v>
      </c>
      <c r="C26" s="186" t="s">
        <v>530</v>
      </c>
      <c r="D26" s="186" t="s">
        <v>530</v>
      </c>
      <c r="E26" s="186"/>
      <c r="F26" s="186"/>
      <c r="G26" s="186"/>
      <c r="H26" s="186"/>
      <c r="I26" s="186"/>
      <c r="J26" s="186"/>
      <c r="K26" s="45"/>
      <c r="L26" s="71"/>
      <c r="M26" s="50"/>
      <c r="N26" s="50"/>
      <c r="O26" s="208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71"/>
      <c r="AD26" s="168"/>
      <c r="AE26" s="168"/>
      <c r="AF26" s="169"/>
      <c r="AG26" s="165">
        <f t="shared" si="0"/>
        <v>0</v>
      </c>
      <c r="AH26" s="166">
        <f t="shared" si="1"/>
        <v>0</v>
      </c>
      <c r="AI26" s="167">
        <f t="shared" si="2"/>
        <v>0</v>
      </c>
      <c r="AJ26"/>
      <c r="AK26"/>
      <c r="AL26"/>
      <c r="AM26" s="474"/>
      <c r="AN26" s="300" t="s">
        <v>624</v>
      </c>
      <c r="AO26" s="168" t="s">
        <v>1322</v>
      </c>
      <c r="AP26" s="169"/>
      <c r="AQ26" s="20"/>
      <c r="AR26" s="325"/>
      <c r="AS26" s="20"/>
      <c r="AT26" s="20"/>
      <c r="AU26" s="20"/>
      <c r="AV26" s="20"/>
      <c r="AW26" s="20"/>
      <c r="AX26" s="20"/>
      <c r="AY26" s="20"/>
      <c r="AZ26" s="20"/>
      <c r="BA26" s="20"/>
      <c r="BB26" s="363"/>
      <c r="BC26" s="363"/>
      <c r="BD26" s="363"/>
      <c r="BE26" s="363"/>
      <c r="BF26" s="363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</row>
    <row r="27" spans="1:197" s="8" customFormat="1" ht="25.5" customHeight="1" thickBot="1">
      <c r="A27" s="214"/>
      <c r="B27" s="242" t="s">
        <v>1167</v>
      </c>
      <c r="C27" s="187">
        <v>12</v>
      </c>
      <c r="D27" s="187">
        <v>8</v>
      </c>
      <c r="E27" s="187"/>
      <c r="F27" s="187"/>
      <c r="G27" s="187"/>
      <c r="H27" s="187"/>
      <c r="I27" s="187"/>
      <c r="J27" s="187"/>
      <c r="K27" s="45"/>
      <c r="L27" s="70"/>
      <c r="M27" s="53"/>
      <c r="N27" s="53"/>
      <c r="O27" s="208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70"/>
      <c r="AD27" s="168"/>
      <c r="AE27" s="168"/>
      <c r="AF27" s="169"/>
      <c r="AG27" s="165">
        <f t="shared" si="0"/>
        <v>0</v>
      </c>
      <c r="AH27" s="172">
        <f t="shared" si="1"/>
        <v>0</v>
      </c>
      <c r="AI27" s="167">
        <f t="shared" si="2"/>
        <v>0</v>
      </c>
      <c r="AJ27"/>
      <c r="AK27"/>
      <c r="AL27"/>
      <c r="AQ27" s="20"/>
      <c r="AR27" s="325"/>
      <c r="AS27" s="20"/>
      <c r="AT27" s="20"/>
      <c r="AU27" s="20"/>
      <c r="AV27" s="20"/>
      <c r="AW27" s="20"/>
      <c r="AX27" s="20"/>
      <c r="AY27" s="20"/>
      <c r="AZ27" s="20"/>
      <c r="BA27" s="20"/>
      <c r="BB27" s="363"/>
      <c r="BC27" s="363"/>
      <c r="BD27" s="363"/>
      <c r="BE27" s="363"/>
      <c r="BF27" s="363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</row>
    <row r="28" spans="1:197" s="8" customFormat="1" ht="25.5" customHeight="1" thickBot="1">
      <c r="A28" s="214"/>
      <c r="B28" s="242" t="s">
        <v>1168</v>
      </c>
      <c r="C28" s="187" t="s">
        <v>574</v>
      </c>
      <c r="D28" s="187" t="s">
        <v>572</v>
      </c>
      <c r="E28" s="187"/>
      <c r="F28" s="187"/>
      <c r="G28" s="187"/>
      <c r="H28" s="187"/>
      <c r="I28" s="187"/>
      <c r="J28" s="187"/>
      <c r="K28" s="45"/>
      <c r="L28" s="70"/>
      <c r="M28" s="53"/>
      <c r="N28" s="53"/>
      <c r="O28" s="208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/>
      <c r="AE28"/>
      <c r="AF28" s="173"/>
      <c r="AG28" s="173">
        <f>SUM(AG3:AG27)</f>
        <v>12471.476947535773</v>
      </c>
      <c r="AH28" s="173">
        <f>SUM(AH3:AH27)</f>
        <v>1139.17</v>
      </c>
      <c r="AI28"/>
      <c r="AJ28"/>
      <c r="AK28"/>
      <c r="AL28"/>
      <c r="AM28" s="473">
        <v>7</v>
      </c>
      <c r="AN28" s="300" t="s">
        <v>1124</v>
      </c>
      <c r="AO28" s="168" t="s">
        <v>1365</v>
      </c>
      <c r="AP28" s="169"/>
      <c r="AQ28" s="20"/>
      <c r="AR28" s="325"/>
      <c r="AS28" s="20"/>
      <c r="AT28" s="20"/>
      <c r="AU28" s="20"/>
      <c r="AV28" s="20"/>
      <c r="AW28" s="20"/>
      <c r="AX28" s="20"/>
      <c r="AY28" s="20"/>
      <c r="AZ28" s="20"/>
      <c r="BA28" s="20"/>
      <c r="BB28" s="363"/>
      <c r="BC28" s="363"/>
      <c r="BD28" s="363"/>
      <c r="BE28" s="363"/>
      <c r="BF28" s="363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</row>
    <row r="29" spans="1:197" s="8" customFormat="1" ht="25.5" customHeight="1" thickBot="1">
      <c r="A29" s="214"/>
      <c r="B29" s="242" t="s">
        <v>611</v>
      </c>
      <c r="C29" s="187" t="s">
        <v>653</v>
      </c>
      <c r="D29" s="187" t="s">
        <v>651</v>
      </c>
      <c r="E29" s="187"/>
      <c r="F29" s="187"/>
      <c r="G29" s="187"/>
      <c r="H29" s="187"/>
      <c r="I29" s="187"/>
      <c r="J29" s="187"/>
      <c r="K29" s="45"/>
      <c r="L29" s="70"/>
      <c r="M29" s="53"/>
      <c r="N29" s="53"/>
      <c r="O29" s="21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474"/>
      <c r="AN29" s="300" t="s">
        <v>624</v>
      </c>
      <c r="AO29" s="168" t="s">
        <v>1322</v>
      </c>
      <c r="AP29" s="169"/>
      <c r="AQ29" s="20"/>
      <c r="AR29" s="325"/>
      <c r="AS29" s="20"/>
      <c r="AT29" s="20"/>
      <c r="AU29" s="20"/>
      <c r="AV29" s="20"/>
      <c r="AW29" s="20"/>
      <c r="AX29" s="20"/>
      <c r="AY29" s="20"/>
      <c r="AZ29" s="20"/>
      <c r="BA29" s="20"/>
      <c r="BB29" s="363"/>
      <c r="BC29" s="363"/>
      <c r="BD29" s="363"/>
      <c r="BE29" s="363"/>
      <c r="BF29" s="363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</row>
    <row r="30" spans="1:197" s="8" customFormat="1" ht="25.5" customHeight="1" thickBot="1">
      <c r="A30" s="214"/>
      <c r="B30" s="388" t="s">
        <v>612</v>
      </c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O30" s="21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Q30" s="20"/>
      <c r="AR30" s="325"/>
      <c r="AS30" s="20"/>
      <c r="AT30" s="20"/>
      <c r="AU30" s="20"/>
      <c r="AV30" s="20"/>
      <c r="AW30" s="20"/>
      <c r="AX30" s="20"/>
      <c r="AY30" s="20"/>
      <c r="AZ30" s="20"/>
      <c r="BA30" s="20"/>
      <c r="BB30" s="363"/>
      <c r="BC30" s="363"/>
      <c r="BD30" s="363"/>
      <c r="BE30" s="363"/>
      <c r="BF30" s="363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</row>
    <row r="31" spans="1:197" s="8" customFormat="1" ht="25.5" customHeight="1">
      <c r="A31" s="214"/>
      <c r="B31" s="435" t="s">
        <v>508</v>
      </c>
      <c r="C31" s="436"/>
      <c r="D31" s="436"/>
      <c r="E31" s="436"/>
      <c r="F31" s="436"/>
      <c r="G31" s="436"/>
      <c r="H31" s="436"/>
      <c r="I31" s="436"/>
      <c r="J31" s="437"/>
      <c r="K31" s="45"/>
      <c r="O31" s="21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473">
        <v>8</v>
      </c>
      <c r="AN31" s="300" t="s">
        <v>1124</v>
      </c>
      <c r="AO31" s="168" t="s">
        <v>1365</v>
      </c>
      <c r="AP31" s="169"/>
      <c r="AQ31" s="20"/>
      <c r="AR31" s="325"/>
      <c r="AS31" s="20"/>
      <c r="AT31" s="20"/>
      <c r="AU31" s="20"/>
      <c r="AV31" s="20"/>
      <c r="AW31" s="20"/>
      <c r="AX31" s="20"/>
      <c r="AY31" s="20"/>
      <c r="AZ31" s="20"/>
      <c r="BA31" s="20"/>
      <c r="BB31" s="363"/>
      <c r="BC31" s="363"/>
      <c r="BD31" s="363"/>
      <c r="BE31" s="363"/>
      <c r="BF31" s="363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</row>
    <row r="32" spans="1:197" s="8" customFormat="1" ht="25.5" customHeight="1" thickBot="1">
      <c r="A32" s="214"/>
      <c r="B32" s="438" t="s">
        <v>510</v>
      </c>
      <c r="C32" s="439"/>
      <c r="D32" s="439"/>
      <c r="E32" s="439"/>
      <c r="F32" s="439"/>
      <c r="G32" s="439"/>
      <c r="H32" s="439"/>
      <c r="I32" s="439"/>
      <c r="J32" s="440"/>
      <c r="K32" s="45"/>
      <c r="O32" s="21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474"/>
      <c r="AN32" s="300" t="s">
        <v>624</v>
      </c>
      <c r="AO32" s="168" t="s">
        <v>1322</v>
      </c>
      <c r="AP32" s="169"/>
      <c r="AQ32" s="20"/>
      <c r="AR32" s="325"/>
      <c r="AS32" s="20"/>
      <c r="AT32" s="20"/>
      <c r="AU32" s="20"/>
      <c r="AV32" s="20"/>
      <c r="AW32" s="20"/>
      <c r="AX32" s="20"/>
      <c r="AY32" s="20"/>
      <c r="AZ32" s="20"/>
      <c r="BA32" s="20"/>
      <c r="BB32" s="363"/>
      <c r="BC32" s="363"/>
      <c r="BD32" s="363"/>
      <c r="BE32" s="363"/>
      <c r="BF32" s="363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</row>
    <row r="33" spans="1:197" s="8" customFormat="1" ht="25.5" customHeight="1">
      <c r="A33" s="214"/>
      <c r="B33" s="438" t="s">
        <v>1359</v>
      </c>
      <c r="C33" s="439"/>
      <c r="D33" s="439"/>
      <c r="E33" s="439"/>
      <c r="F33" s="439"/>
      <c r="G33" s="439"/>
      <c r="H33" s="439"/>
      <c r="I33" s="439"/>
      <c r="J33" s="440"/>
      <c r="K33" s="45"/>
      <c r="O33" s="21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Q33" s="20"/>
      <c r="AR33" s="325"/>
      <c r="AS33" s="20"/>
      <c r="AT33" s="20"/>
      <c r="AU33" s="20"/>
      <c r="AV33" s="20"/>
      <c r="AW33" s="20"/>
      <c r="AX33" s="20"/>
      <c r="AY33" s="20"/>
      <c r="AZ33" s="20"/>
      <c r="BA33" s="20"/>
      <c r="BB33" s="363"/>
      <c r="BC33" s="363"/>
      <c r="BD33" s="363"/>
      <c r="BE33" s="363"/>
      <c r="BF33" s="363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</row>
    <row r="34" spans="1:197" s="8" customFormat="1" ht="25.5" customHeight="1" thickBot="1">
      <c r="A34" s="215"/>
      <c r="B34" s="438" t="s">
        <v>1360</v>
      </c>
      <c r="C34" s="441"/>
      <c r="D34" s="441"/>
      <c r="E34" s="441"/>
      <c r="F34" s="441"/>
      <c r="G34" s="441"/>
      <c r="H34" s="441"/>
      <c r="I34" s="441"/>
      <c r="J34" s="442"/>
      <c r="K34" s="45"/>
      <c r="O34" s="21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325"/>
      <c r="AS34" s="20"/>
      <c r="AT34" s="20"/>
      <c r="AU34" s="20"/>
      <c r="AV34" s="20"/>
      <c r="AW34" s="20"/>
      <c r="AX34" s="20"/>
      <c r="AY34" s="20"/>
      <c r="AZ34" s="20"/>
      <c r="BA34" s="20"/>
      <c r="BB34" s="363"/>
      <c r="BC34" s="363"/>
      <c r="BD34" s="363"/>
      <c r="BE34" s="363"/>
      <c r="BF34" s="363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</row>
    <row r="35" spans="1:197" s="5" customFormat="1" ht="25.5" customHeight="1" thickTop="1" thickBot="1">
      <c r="A35" s="213"/>
      <c r="B35" s="242" t="s">
        <v>603</v>
      </c>
      <c r="C35" s="239">
        <f t="shared" ref="C35:J35" si="4">C18</f>
        <v>10000</v>
      </c>
      <c r="D35" s="239">
        <f t="shared" si="4"/>
        <v>15000</v>
      </c>
      <c r="E35" s="239">
        <f t="shared" si="4"/>
        <v>38000</v>
      </c>
      <c r="F35" s="239">
        <f t="shared" si="4"/>
        <v>22000</v>
      </c>
      <c r="G35" s="239">
        <f t="shared" si="4"/>
        <v>35000</v>
      </c>
      <c r="H35" s="239">
        <f t="shared" si="4"/>
        <v>38000</v>
      </c>
      <c r="I35" s="239">
        <f t="shared" si="4"/>
        <v>10000</v>
      </c>
      <c r="J35" s="239">
        <f t="shared" si="4"/>
        <v>25000</v>
      </c>
      <c r="K35" s="45"/>
      <c r="O35" s="54"/>
      <c r="AR35" s="322"/>
      <c r="BB35" s="360"/>
      <c r="BC35" s="360"/>
      <c r="BD35" s="360"/>
      <c r="BE35" s="360"/>
      <c r="BF35" s="360"/>
    </row>
    <row r="36" spans="1:197" s="5" customFormat="1" ht="25.5" customHeight="1" thickTop="1">
      <c r="A36" s="214"/>
      <c r="B36" s="72" t="s">
        <v>614</v>
      </c>
      <c r="C36" s="143">
        <f>IF(ROYALTY_ESPECIE_01&lt;&gt;0,ROYALTY_ESPECIE_01*VLOOKUP(Moeda_01,$P$3:$Q$8,2,FALSE),ROYALTY_PERCENTUAL_01*PrecoMKT_01)</f>
        <v>2250</v>
      </c>
      <c r="D36" s="143">
        <f>IF(ROYALTY_ESPECIE_02&lt;&gt;0,ROYALTY_ESPECIE_02*VLOOKUP(Moeda_02,$P$3:$Q$8,2,FALSE),ROYALTY_PERCENTUAL_02*PrecoMKT_02)</f>
        <v>340</v>
      </c>
      <c r="E36" s="143">
        <f>IF(ROYALTY_ESPECIE_03&lt;&gt;0,ROYALTY_ESPECIE_03*VLOOKUP(Moeda_03,$P$3:$Q$8,2,FALSE),ROYALTY_PERCENTUAL_03*PrecoMKT_03)</f>
        <v>4800</v>
      </c>
      <c r="F36" s="143">
        <f>IF(ROYALTY_ESPECIE_04&lt;&gt;0,ROYALTY_ESPECIE_04*VLOOKUP(Moeda_04,$P$3:$Q$8,2,FALSE),ROYALTY_PERCENTUAL_04*PrecoMKT_04)</f>
        <v>0</v>
      </c>
      <c r="G36" s="143">
        <f>IF(ROYALTY_ESPECIE_05&lt;&gt;0,ROYALTY_ESPECIE_05*VLOOKUP(Moeda_05,$P$3:$Q$8,2,FALSE),ROYALTY_PERCENTUAL_05*PrecoMKT_05)</f>
        <v>0</v>
      </c>
      <c r="H36" s="143">
        <f>IF(ROYALTY_ESPECIE_06&lt;&gt;0,ROYALTY_ESPECIE_06*VLOOKUP(Moeda_06,$P$3:$Q$8,2,FALSE),ROYALTY_PERCENTUAL_06*PrecoMKT_06)</f>
        <v>0</v>
      </c>
      <c r="I36" s="143">
        <f>IF(ROYALTY_ESPECIE_07&lt;&gt;0,ROYALTY_ESPECIE_07*VLOOKUP(Moeda_07,$P$3:$Q$8,2,FALSE),ROYALTY_PERCENTUAL_07*PrecoMKT_07)</f>
        <v>0</v>
      </c>
      <c r="J36" s="143">
        <f>IF(ROYALTY_ESPECIE_08&lt;&gt;0,ROYALTY_ESPECIE_08*VLOOKUP(Moeda_08,$P$3:$Q$8,2,FALSE),ROYALTY_PERCENTUAL_08*PrecoMKT_08)</f>
        <v>0</v>
      </c>
      <c r="K36" s="45"/>
      <c r="O36" s="54"/>
      <c r="AR36" s="322"/>
      <c r="BB36" s="360"/>
      <c r="BC36" s="360"/>
      <c r="BD36" s="360"/>
      <c r="BE36" s="360"/>
      <c r="BF36" s="360"/>
    </row>
    <row r="37" spans="1:197" s="5" customFormat="1" ht="25.5" customHeight="1">
      <c r="A37" s="214"/>
      <c r="B37" s="10" t="s">
        <v>615</v>
      </c>
      <c r="C37" s="225" t="s">
        <v>1131</v>
      </c>
      <c r="D37" s="225" t="s">
        <v>1131</v>
      </c>
      <c r="E37" s="225" t="s">
        <v>1131</v>
      </c>
      <c r="F37" s="225" t="s">
        <v>1131</v>
      </c>
      <c r="G37" s="225" t="s">
        <v>1131</v>
      </c>
      <c r="H37" s="225" t="s">
        <v>1131</v>
      </c>
      <c r="I37" s="225" t="s">
        <v>1131</v>
      </c>
      <c r="J37" s="225" t="s">
        <v>1131</v>
      </c>
      <c r="K37" s="45"/>
      <c r="O37" s="54"/>
      <c r="AR37" s="322"/>
      <c r="BB37" s="360"/>
      <c r="BC37" s="360"/>
      <c r="BD37" s="360"/>
      <c r="BE37" s="360"/>
      <c r="BF37" s="360"/>
    </row>
    <row r="38" spans="1:197" s="5" customFormat="1" ht="25.5" customHeight="1">
      <c r="A38" s="214"/>
      <c r="B38" s="10" t="s">
        <v>583</v>
      </c>
      <c r="C38" s="226" t="s">
        <v>1131</v>
      </c>
      <c r="D38" s="226" t="s">
        <v>1131</v>
      </c>
      <c r="E38" s="226" t="s">
        <v>1131</v>
      </c>
      <c r="F38" s="226" t="s">
        <v>1131</v>
      </c>
      <c r="G38" s="226" t="s">
        <v>1131</v>
      </c>
      <c r="H38" s="226" t="s">
        <v>1131</v>
      </c>
      <c r="I38" s="226" t="s">
        <v>1131</v>
      </c>
      <c r="J38" s="226" t="s">
        <v>1131</v>
      </c>
      <c r="K38" s="45"/>
      <c r="O38" s="54"/>
      <c r="AR38" s="322"/>
      <c r="BB38" s="360"/>
      <c r="BC38" s="360"/>
      <c r="BD38" s="360"/>
      <c r="BE38" s="360"/>
      <c r="BF38" s="360"/>
    </row>
    <row r="39" spans="1:197" s="5" customFormat="1" ht="25.5" customHeight="1">
      <c r="A39" s="214"/>
      <c r="B39" s="10" t="s">
        <v>584</v>
      </c>
      <c r="C39" s="226" t="s">
        <v>1131</v>
      </c>
      <c r="D39" s="226" t="s">
        <v>1131</v>
      </c>
      <c r="E39" s="226" t="s">
        <v>1131</v>
      </c>
      <c r="F39" s="226" t="s">
        <v>1131</v>
      </c>
      <c r="G39" s="226" t="s">
        <v>1131</v>
      </c>
      <c r="H39" s="226" t="s">
        <v>1131</v>
      </c>
      <c r="I39" s="226" t="s">
        <v>1131</v>
      </c>
      <c r="J39" s="226" t="s">
        <v>1131</v>
      </c>
      <c r="K39" s="45"/>
      <c r="O39" s="54"/>
      <c r="AR39" s="322"/>
      <c r="BB39" s="360"/>
      <c r="BC39" s="360"/>
      <c r="BD39" s="360"/>
      <c r="BE39" s="360"/>
      <c r="BF39" s="360"/>
    </row>
    <row r="40" spans="1:197" s="5" customFormat="1" ht="25.5" customHeight="1">
      <c r="A40" s="214"/>
      <c r="B40" s="11" t="s">
        <v>585</v>
      </c>
      <c r="C40" s="226" t="s">
        <v>1131</v>
      </c>
      <c r="D40" s="226" t="s">
        <v>1131</v>
      </c>
      <c r="E40" s="226" t="s">
        <v>1131</v>
      </c>
      <c r="F40" s="226" t="s">
        <v>1131</v>
      </c>
      <c r="G40" s="226" t="s">
        <v>1131</v>
      </c>
      <c r="H40" s="226" t="s">
        <v>1131</v>
      </c>
      <c r="I40" s="226" t="s">
        <v>1131</v>
      </c>
      <c r="J40" s="226" t="s">
        <v>1131</v>
      </c>
      <c r="K40" s="45"/>
      <c r="O40" s="54"/>
      <c r="AR40" s="322"/>
      <c r="BB40" s="360"/>
      <c r="BC40" s="360"/>
      <c r="BD40" s="360"/>
      <c r="BE40" s="360"/>
      <c r="BF40" s="360"/>
    </row>
    <row r="41" spans="1:197" s="5" customFormat="1" ht="25.5" customHeight="1">
      <c r="A41" s="214"/>
      <c r="B41" s="11" t="s">
        <v>586</v>
      </c>
      <c r="C41" s="226" t="s">
        <v>1131</v>
      </c>
      <c r="D41" s="226" t="s">
        <v>1131</v>
      </c>
      <c r="E41" s="226" t="s">
        <v>1131</v>
      </c>
      <c r="F41" s="226" t="s">
        <v>1131</v>
      </c>
      <c r="G41" s="226" t="s">
        <v>1131</v>
      </c>
      <c r="H41" s="226" t="s">
        <v>1131</v>
      </c>
      <c r="I41" s="226" t="s">
        <v>1131</v>
      </c>
      <c r="J41" s="226" t="s">
        <v>1131</v>
      </c>
      <c r="K41" s="45"/>
      <c r="O41" s="54"/>
      <c r="AR41" s="322"/>
      <c r="BB41" s="360"/>
      <c r="BC41" s="360"/>
      <c r="BD41" s="360"/>
      <c r="BE41" s="360"/>
      <c r="BF41" s="360"/>
    </row>
    <row r="42" spans="1:197" s="5" customFormat="1" ht="25.5" customHeight="1">
      <c r="A42" s="214"/>
      <c r="B42" s="10" t="s">
        <v>616</v>
      </c>
      <c r="C42" s="226" t="s">
        <v>1131</v>
      </c>
      <c r="D42" s="226" t="s">
        <v>1131</v>
      </c>
      <c r="E42" s="226" t="s">
        <v>1131</v>
      </c>
      <c r="F42" s="226" t="s">
        <v>1131</v>
      </c>
      <c r="G42" s="226" t="s">
        <v>1131</v>
      </c>
      <c r="H42" s="226" t="s">
        <v>1131</v>
      </c>
      <c r="I42" s="226" t="s">
        <v>1131</v>
      </c>
      <c r="J42" s="226" t="s">
        <v>1131</v>
      </c>
      <c r="K42" s="45"/>
      <c r="O42" s="54"/>
      <c r="AR42" s="322"/>
      <c r="BB42" s="360"/>
      <c r="BC42" s="360"/>
      <c r="BD42" s="360"/>
      <c r="BE42" s="360"/>
      <c r="BF42" s="360"/>
    </row>
    <row r="43" spans="1:197" s="5" customFormat="1" ht="25.5" customHeight="1">
      <c r="A43" s="214"/>
      <c r="B43" s="10" t="s">
        <v>1125</v>
      </c>
      <c r="C43" s="226" t="s">
        <v>1131</v>
      </c>
      <c r="D43" s="226" t="s">
        <v>1131</v>
      </c>
      <c r="E43" s="226" t="s">
        <v>1131</v>
      </c>
      <c r="F43" s="226" t="s">
        <v>1131</v>
      </c>
      <c r="G43" s="226" t="s">
        <v>1131</v>
      </c>
      <c r="H43" s="226" t="s">
        <v>1131</v>
      </c>
      <c r="I43" s="226" t="s">
        <v>1131</v>
      </c>
      <c r="J43" s="226" t="s">
        <v>1131</v>
      </c>
      <c r="K43" s="45"/>
      <c r="O43" s="54"/>
      <c r="AR43" s="322"/>
      <c r="BB43" s="360"/>
      <c r="BC43" s="360"/>
      <c r="BD43" s="360"/>
      <c r="BE43" s="360"/>
      <c r="BF43" s="360"/>
    </row>
    <row r="44" spans="1:197" s="5" customFormat="1" ht="25.5" customHeight="1">
      <c r="A44" s="214"/>
      <c r="B44" s="10" t="s">
        <v>1126</v>
      </c>
      <c r="C44" s="226" t="s">
        <v>1131</v>
      </c>
      <c r="D44" s="226" t="s">
        <v>1131</v>
      </c>
      <c r="E44" s="226" t="s">
        <v>1131</v>
      </c>
      <c r="F44" s="226" t="s">
        <v>1131</v>
      </c>
      <c r="G44" s="226" t="s">
        <v>1131</v>
      </c>
      <c r="H44" s="226" t="s">
        <v>1131</v>
      </c>
      <c r="I44" s="226" t="s">
        <v>1131</v>
      </c>
      <c r="J44" s="226" t="s">
        <v>1131</v>
      </c>
      <c r="K44" s="45"/>
      <c r="O44" s="54"/>
      <c r="AR44" s="322"/>
      <c r="BB44" s="360"/>
      <c r="BC44" s="360"/>
      <c r="BD44" s="360"/>
      <c r="BE44" s="360"/>
      <c r="BF44" s="360"/>
    </row>
    <row r="45" spans="1:197" s="5" customFormat="1" ht="25.5" customHeight="1">
      <c r="A45" s="214"/>
      <c r="B45" s="10" t="s">
        <v>1124</v>
      </c>
      <c r="C45" s="226">
        <v>5171.55</v>
      </c>
      <c r="D45" s="226" t="s">
        <v>1131</v>
      </c>
      <c r="E45" s="226">
        <v>1500</v>
      </c>
      <c r="F45" s="226" t="s">
        <v>1131</v>
      </c>
      <c r="G45" s="226" t="s">
        <v>1131</v>
      </c>
      <c r="H45" s="226" t="s">
        <v>1131</v>
      </c>
      <c r="I45" s="226" t="s">
        <v>1131</v>
      </c>
      <c r="J45" s="226" t="s">
        <v>1131</v>
      </c>
      <c r="K45" s="45"/>
      <c r="O45" s="54"/>
      <c r="AR45" s="322"/>
      <c r="BB45" s="360"/>
      <c r="BC45" s="360"/>
      <c r="BD45" s="360"/>
      <c r="BE45" s="360"/>
      <c r="BF45" s="360"/>
    </row>
    <row r="46" spans="1:197" s="5" customFormat="1" ht="25.5" customHeight="1">
      <c r="A46" s="214"/>
      <c r="B46" s="10" t="s">
        <v>618</v>
      </c>
      <c r="C46" s="226" t="s">
        <v>1131</v>
      </c>
      <c r="D46" s="226" t="s">
        <v>1131</v>
      </c>
      <c r="E46" s="226" t="s">
        <v>1131</v>
      </c>
      <c r="F46" s="226" t="s">
        <v>1131</v>
      </c>
      <c r="G46" s="226" t="s">
        <v>1131</v>
      </c>
      <c r="H46" s="226" t="s">
        <v>1131</v>
      </c>
      <c r="I46" s="226" t="s">
        <v>1131</v>
      </c>
      <c r="J46" s="226" t="s">
        <v>1131</v>
      </c>
      <c r="K46" s="45"/>
      <c r="O46" s="54"/>
      <c r="AR46" s="322"/>
      <c r="BB46" s="360"/>
      <c r="BC46" s="360"/>
      <c r="BD46" s="360"/>
      <c r="BE46" s="360"/>
      <c r="BF46" s="360"/>
    </row>
    <row r="47" spans="1:197" s="5" customFormat="1" ht="25.5" customHeight="1">
      <c r="A47" s="214"/>
      <c r="B47" s="10" t="s">
        <v>619</v>
      </c>
      <c r="C47" s="226" t="s">
        <v>1131</v>
      </c>
      <c r="D47" s="226" t="s">
        <v>1131</v>
      </c>
      <c r="E47" s="226" t="s">
        <v>1131</v>
      </c>
      <c r="F47" s="226" t="s">
        <v>1131</v>
      </c>
      <c r="G47" s="226" t="s">
        <v>1131</v>
      </c>
      <c r="H47" s="226" t="s">
        <v>1131</v>
      </c>
      <c r="I47" s="226" t="s">
        <v>1131</v>
      </c>
      <c r="J47" s="226" t="s">
        <v>1131</v>
      </c>
      <c r="K47" s="45"/>
      <c r="O47" s="54"/>
      <c r="AR47" s="322"/>
      <c r="BB47" s="360"/>
      <c r="BC47" s="360"/>
      <c r="BD47" s="360"/>
      <c r="BE47" s="360"/>
      <c r="BF47" s="360"/>
    </row>
    <row r="48" spans="1:197" s="5" customFormat="1" ht="25.5" customHeight="1">
      <c r="A48" s="214"/>
      <c r="B48" s="10" t="s">
        <v>620</v>
      </c>
      <c r="C48" s="226" t="s">
        <v>1131</v>
      </c>
      <c r="D48" s="226" t="s">
        <v>1131</v>
      </c>
      <c r="E48" s="226" t="s">
        <v>1131</v>
      </c>
      <c r="F48" s="226" t="s">
        <v>1131</v>
      </c>
      <c r="G48" s="226" t="s">
        <v>1131</v>
      </c>
      <c r="H48" s="226" t="s">
        <v>1131</v>
      </c>
      <c r="I48" s="226" t="s">
        <v>1131</v>
      </c>
      <c r="J48" s="226" t="s">
        <v>1131</v>
      </c>
      <c r="K48" s="45"/>
      <c r="O48" s="54"/>
      <c r="AR48" s="322"/>
      <c r="BB48" s="360"/>
      <c r="BC48" s="360"/>
      <c r="BD48" s="360"/>
      <c r="BE48" s="360"/>
      <c r="BF48" s="360"/>
    </row>
    <row r="49" spans="1:58" s="5" customFormat="1" ht="25.5" customHeight="1">
      <c r="A49" s="214"/>
      <c r="B49" s="10" t="s">
        <v>617</v>
      </c>
      <c r="C49" s="226" t="s">
        <v>1131</v>
      </c>
      <c r="D49" s="226" t="s">
        <v>1131</v>
      </c>
      <c r="E49" s="226" t="s">
        <v>1131</v>
      </c>
      <c r="F49" s="226" t="s">
        <v>1131</v>
      </c>
      <c r="G49" s="226" t="s">
        <v>1131</v>
      </c>
      <c r="H49" s="226" t="s">
        <v>1131</v>
      </c>
      <c r="I49" s="226" t="s">
        <v>1131</v>
      </c>
      <c r="J49" s="226" t="s">
        <v>1131</v>
      </c>
      <c r="K49" s="45"/>
      <c r="O49" s="54"/>
      <c r="AR49" s="322"/>
      <c r="BB49" s="360"/>
      <c r="BC49" s="360"/>
      <c r="BD49" s="360"/>
      <c r="BE49" s="360"/>
      <c r="BF49" s="360"/>
    </row>
    <row r="50" spans="1:58" s="5" customFormat="1" ht="25.5" customHeight="1">
      <c r="A50" s="214"/>
      <c r="B50" s="10" t="s">
        <v>621</v>
      </c>
      <c r="C50" s="226" t="s">
        <v>1131</v>
      </c>
      <c r="D50" s="226" t="s">
        <v>1131</v>
      </c>
      <c r="E50" s="226" t="s">
        <v>1131</v>
      </c>
      <c r="F50" s="226" t="s">
        <v>1131</v>
      </c>
      <c r="G50" s="226" t="s">
        <v>1131</v>
      </c>
      <c r="H50" s="226" t="s">
        <v>1131</v>
      </c>
      <c r="I50" s="226" t="s">
        <v>1131</v>
      </c>
      <c r="J50" s="226" t="s">
        <v>1131</v>
      </c>
      <c r="K50" s="45"/>
      <c r="O50" s="54"/>
      <c r="AR50" s="322"/>
      <c r="BB50" s="360"/>
      <c r="BC50" s="360"/>
      <c r="BD50" s="360"/>
      <c r="BE50" s="360"/>
      <c r="BF50" s="360"/>
    </row>
    <row r="51" spans="1:58" s="5" customFormat="1" ht="25.5" customHeight="1">
      <c r="A51" s="214"/>
      <c r="B51" s="10" t="s">
        <v>1181</v>
      </c>
      <c r="C51" s="226" t="s">
        <v>1131</v>
      </c>
      <c r="D51" s="226" t="s">
        <v>1131</v>
      </c>
      <c r="E51" s="226" t="s">
        <v>1131</v>
      </c>
      <c r="F51" s="226" t="s">
        <v>1131</v>
      </c>
      <c r="G51" s="226" t="s">
        <v>1131</v>
      </c>
      <c r="H51" s="226" t="s">
        <v>1131</v>
      </c>
      <c r="I51" s="226" t="s">
        <v>1131</v>
      </c>
      <c r="J51" s="226" t="s">
        <v>1131</v>
      </c>
      <c r="K51" s="45"/>
      <c r="O51" s="54"/>
      <c r="AR51" s="322"/>
      <c r="BB51" s="360"/>
      <c r="BC51" s="360"/>
      <c r="BD51" s="360"/>
      <c r="BE51" s="360"/>
      <c r="BF51" s="360"/>
    </row>
    <row r="52" spans="1:58" s="5" customFormat="1" ht="25.5" customHeight="1">
      <c r="A52" s="214"/>
      <c r="B52" s="10" t="s">
        <v>1182</v>
      </c>
      <c r="C52" s="226" t="s">
        <v>1131</v>
      </c>
      <c r="D52" s="226" t="s">
        <v>1131</v>
      </c>
      <c r="E52" s="226" t="s">
        <v>1131</v>
      </c>
      <c r="F52" s="226" t="s">
        <v>1131</v>
      </c>
      <c r="G52" s="226" t="s">
        <v>1131</v>
      </c>
      <c r="H52" s="226" t="s">
        <v>1131</v>
      </c>
      <c r="I52" s="226" t="s">
        <v>1131</v>
      </c>
      <c r="J52" s="226" t="s">
        <v>1131</v>
      </c>
      <c r="K52" s="45"/>
      <c r="O52" s="54"/>
      <c r="AR52" s="322"/>
      <c r="BB52" s="360"/>
      <c r="BC52" s="360"/>
      <c r="BD52" s="360"/>
      <c r="BE52" s="360"/>
      <c r="BF52" s="360"/>
    </row>
    <row r="53" spans="1:58" s="5" customFormat="1" ht="25.5" customHeight="1">
      <c r="A53" s="214"/>
      <c r="B53" s="10" t="s">
        <v>622</v>
      </c>
      <c r="C53" s="226" t="s">
        <v>1131</v>
      </c>
      <c r="D53" s="226" t="s">
        <v>1131</v>
      </c>
      <c r="E53" s="226" t="s">
        <v>1131</v>
      </c>
      <c r="F53" s="226" t="s">
        <v>1131</v>
      </c>
      <c r="G53" s="226" t="s">
        <v>1131</v>
      </c>
      <c r="H53" s="226" t="s">
        <v>1131</v>
      </c>
      <c r="I53" s="226" t="s">
        <v>1131</v>
      </c>
      <c r="J53" s="226" t="s">
        <v>1131</v>
      </c>
      <c r="K53" s="45"/>
      <c r="O53" s="54"/>
      <c r="AR53" s="322"/>
      <c r="BB53" s="360"/>
      <c r="BC53" s="360"/>
      <c r="BD53" s="360"/>
      <c r="BE53" s="360"/>
      <c r="BF53" s="360"/>
    </row>
    <row r="54" spans="1:58" s="5" customFormat="1" ht="25.5" customHeight="1">
      <c r="A54" s="214"/>
      <c r="B54" s="10" t="s">
        <v>623</v>
      </c>
      <c r="C54" s="226" t="s">
        <v>1131</v>
      </c>
      <c r="D54" s="226" t="s">
        <v>1131</v>
      </c>
      <c r="E54" s="226" t="s">
        <v>1131</v>
      </c>
      <c r="F54" s="226" t="s">
        <v>1131</v>
      </c>
      <c r="G54" s="226" t="s">
        <v>1131</v>
      </c>
      <c r="H54" s="226" t="s">
        <v>1131</v>
      </c>
      <c r="I54" s="226" t="s">
        <v>1131</v>
      </c>
      <c r="J54" s="226" t="s">
        <v>1131</v>
      </c>
      <c r="K54" s="45"/>
      <c r="O54" s="54"/>
      <c r="AR54" s="322"/>
      <c r="BB54" s="360"/>
      <c r="BC54" s="360"/>
      <c r="BD54" s="360"/>
      <c r="BE54" s="360"/>
      <c r="BF54" s="360"/>
    </row>
    <row r="55" spans="1:58" s="5" customFormat="1" ht="25.5" customHeight="1">
      <c r="A55" s="214"/>
      <c r="B55" s="10" t="s">
        <v>624</v>
      </c>
      <c r="C55" s="226">
        <v>3017.61</v>
      </c>
      <c r="D55" s="226" t="s">
        <v>1131</v>
      </c>
      <c r="E55" s="226">
        <v>2782.32</v>
      </c>
      <c r="F55" s="226" t="s">
        <v>1131</v>
      </c>
      <c r="G55" s="226" t="s">
        <v>1131</v>
      </c>
      <c r="H55" s="226" t="s">
        <v>1131</v>
      </c>
      <c r="I55" s="226" t="s">
        <v>1131</v>
      </c>
      <c r="J55" s="226" t="s">
        <v>1131</v>
      </c>
      <c r="K55" s="45"/>
      <c r="O55" s="54"/>
      <c r="AR55" s="322"/>
      <c r="BB55" s="360"/>
      <c r="BC55" s="360"/>
      <c r="BD55" s="360"/>
      <c r="BE55" s="360"/>
      <c r="BF55" s="360"/>
    </row>
    <row r="56" spans="1:58" s="5" customFormat="1" ht="25.5" customHeight="1">
      <c r="A56" s="214"/>
      <c r="B56" s="10" t="s">
        <v>625</v>
      </c>
      <c r="C56" s="226" t="s">
        <v>1131</v>
      </c>
      <c r="D56" s="226" t="s">
        <v>1131</v>
      </c>
      <c r="E56" s="226" t="s">
        <v>1131</v>
      </c>
      <c r="F56" s="226" t="s">
        <v>1131</v>
      </c>
      <c r="G56" s="226" t="s">
        <v>1131</v>
      </c>
      <c r="H56" s="226" t="s">
        <v>1131</v>
      </c>
      <c r="I56" s="226" t="s">
        <v>1131</v>
      </c>
      <c r="J56" s="226" t="s">
        <v>1131</v>
      </c>
      <c r="K56" s="45"/>
      <c r="O56" s="54"/>
      <c r="AR56" s="322"/>
      <c r="BB56" s="360"/>
      <c r="BC56" s="360"/>
      <c r="BD56" s="360"/>
      <c r="BE56" s="360"/>
      <c r="BF56" s="360"/>
    </row>
    <row r="57" spans="1:58" s="5" customFormat="1" ht="25.5" customHeight="1" thickBot="1">
      <c r="A57" s="214"/>
      <c r="B57" s="11" t="s">
        <v>587</v>
      </c>
      <c r="C57" s="226" t="s">
        <v>1131</v>
      </c>
      <c r="D57" s="226" t="s">
        <v>1131</v>
      </c>
      <c r="E57" s="226" t="s">
        <v>1131</v>
      </c>
      <c r="F57" s="226" t="s">
        <v>1131</v>
      </c>
      <c r="G57" s="226" t="s">
        <v>1131</v>
      </c>
      <c r="H57" s="226" t="s">
        <v>1131</v>
      </c>
      <c r="I57" s="226" t="s">
        <v>1131</v>
      </c>
      <c r="J57" s="226" t="s">
        <v>1131</v>
      </c>
      <c r="K57" s="45"/>
      <c r="O57" s="54"/>
      <c r="AR57" s="322"/>
      <c r="BB57" s="360"/>
      <c r="BC57" s="360"/>
      <c r="BD57" s="360"/>
      <c r="BE57" s="360"/>
      <c r="BF57" s="360"/>
    </row>
    <row r="58" spans="1:58" s="5" customFormat="1" ht="25.5" customHeight="1" thickBot="1">
      <c r="A58" s="214"/>
      <c r="B58" s="240" t="s">
        <v>1170</v>
      </c>
      <c r="C58" s="241">
        <f>SUM(C36:C57)</f>
        <v>10439.16</v>
      </c>
      <c r="D58" s="241">
        <f t="shared" ref="D58:J58" si="5">SUM(D36:D57)</f>
        <v>340</v>
      </c>
      <c r="E58" s="241">
        <f t="shared" si="5"/>
        <v>9082.32</v>
      </c>
      <c r="F58" s="241">
        <f t="shared" si="5"/>
        <v>0</v>
      </c>
      <c r="G58" s="241">
        <f t="shared" si="5"/>
        <v>0</v>
      </c>
      <c r="H58" s="241">
        <f t="shared" si="5"/>
        <v>0</v>
      </c>
      <c r="I58" s="241">
        <f t="shared" si="5"/>
        <v>0</v>
      </c>
      <c r="J58" s="241">
        <f t="shared" si="5"/>
        <v>0</v>
      </c>
      <c r="K58" s="45"/>
      <c r="O58" s="54"/>
      <c r="AR58" s="322"/>
      <c r="BB58" s="360"/>
      <c r="BC58" s="360"/>
      <c r="BD58" s="360"/>
      <c r="BE58" s="360"/>
      <c r="BF58" s="360"/>
    </row>
    <row r="59" spans="1:58" s="8" customFormat="1" ht="25.5" customHeight="1" thickBot="1">
      <c r="A59" s="216"/>
      <c r="B59" s="388" t="s">
        <v>589</v>
      </c>
      <c r="C59" s="389"/>
      <c r="D59" s="389"/>
      <c r="E59" s="389"/>
      <c r="F59" s="389"/>
      <c r="G59" s="389"/>
      <c r="H59" s="389"/>
      <c r="I59" s="389"/>
      <c r="J59" s="390"/>
      <c r="K59" s="45"/>
      <c r="O59" s="210"/>
      <c r="AR59" s="322"/>
      <c r="BB59" s="360"/>
      <c r="BC59" s="360"/>
      <c r="BD59" s="360"/>
      <c r="BE59" s="360"/>
      <c r="BF59" s="360"/>
    </row>
    <row r="60" spans="1:58" s="78" customFormat="1" ht="31.5" customHeight="1" thickTop="1" thickBot="1">
      <c r="A60" s="216"/>
      <c r="B60" s="238" t="str">
        <f>B35</f>
        <v>TIRAGEM:</v>
      </c>
      <c r="C60" s="239">
        <f>C35</f>
        <v>10000</v>
      </c>
      <c r="D60" s="239">
        <f t="shared" ref="D60:J60" si="6">D35</f>
        <v>15000</v>
      </c>
      <c r="E60" s="239">
        <f t="shared" si="6"/>
        <v>38000</v>
      </c>
      <c r="F60" s="239">
        <f t="shared" si="6"/>
        <v>22000</v>
      </c>
      <c r="G60" s="239">
        <f t="shared" si="6"/>
        <v>35000</v>
      </c>
      <c r="H60" s="239">
        <f t="shared" si="6"/>
        <v>38000</v>
      </c>
      <c r="I60" s="239">
        <f t="shared" si="6"/>
        <v>10000</v>
      </c>
      <c r="J60" s="239">
        <f t="shared" si="6"/>
        <v>25000</v>
      </c>
      <c r="K60" s="83"/>
      <c r="O60" s="211"/>
      <c r="AR60" s="326"/>
      <c r="BB60" s="364"/>
      <c r="BC60" s="364"/>
      <c r="BD60" s="364"/>
      <c r="BE60" s="364"/>
      <c r="BF60" s="364"/>
    </row>
    <row r="61" spans="1:58" ht="31.5" customHeight="1" thickTop="1" thickBot="1">
      <c r="B61" s="12"/>
      <c r="C61" s="147"/>
      <c r="D61" s="147"/>
      <c r="E61" s="148"/>
      <c r="F61" s="148"/>
      <c r="G61" s="148"/>
      <c r="H61" s="148"/>
      <c r="I61" s="148"/>
      <c r="J61" s="148"/>
    </row>
    <row r="62" spans="1:58" ht="30.75" customHeight="1" thickBot="1">
      <c r="B62" s="65" t="s">
        <v>1194</v>
      </c>
      <c r="C62" s="248" t="str">
        <f>IF(ISERROR(VLOOKUP(LINHA_DE_PRODUTO_01,$L$3:$N$30,3,FALSE)),"0",VLOOKUP(LINHA_DE_PRODUTO_01,$L$3:$N$30,3,FALSE))</f>
        <v>0,55</v>
      </c>
      <c r="D62" s="248" t="str">
        <f>IF(ISERROR(VLOOKUP(LINHA_DE_PRODUTO_02,$L$3:$N$30,3,FALSE)),"0",VLOOKUP(LINHA_DE_PRODUTO_02,$L$3:$N$30,3,FALSE))</f>
        <v>0,25</v>
      </c>
      <c r="E62" s="248" t="str">
        <f>IF(ISERROR(VLOOKUP(LINHA_DE_PRODUTO_03,$L$3:$N$30,3,FALSE)),"0",VLOOKUP(LINHA_DE_PRODUTO_03,$L$3:$N$30,3,FALSE))</f>
        <v>0,50</v>
      </c>
      <c r="F62" s="248" t="str">
        <f>IF(ISERROR(VLOOKUP(LINHA_DE_PRODUTO_04,$L$3:$N$30,3,FALSE)),"0",VLOOKUP(LINHA_DE_PRODUTO_04,$L$3:$N$30,3,FALSE))</f>
        <v>0,55</v>
      </c>
      <c r="G62" s="248" t="str">
        <f>IF(ISERROR(VLOOKUP(LINHA_DE_PRODUTO_05,$L$3:$N$30,3,FALSE)),"0",VLOOKUP(LINHA_DE_PRODUTO_05,$L$3:$N$30,3,FALSE))</f>
        <v>0,55</v>
      </c>
      <c r="H62" s="248" t="str">
        <f>IF(ISERROR(VLOOKUP(LINHA_DE_PRODUTO_06,$L$3:$N$30,3,FALSE)),"0",VLOOKUP(LINHA_DE_PRODUTO_06,$L$3:$N$30,3,FALSE))</f>
        <v>0,55</v>
      </c>
      <c r="I62" s="248" t="str">
        <f>IF(ISERROR(VLOOKUP(LINHA_DE_PRODUTO_07,$L$3:$N$30,3,FALSE)),"0",VLOOKUP(LINHA_DE_PRODUTO_07,$L$3:$N$30,3,FALSE))</f>
        <v>0,25</v>
      </c>
      <c r="J62" s="248" t="str">
        <f>IF(ISERROR(VLOOKUP(LINHA_DE_PRODUTO_08,$L$3:$N$30,3,FALSE)),"0",VLOOKUP(LINHA_DE_PRODUTO_08,$L$3:$N$30,3,FALSE))</f>
        <v>0,50</v>
      </c>
    </row>
    <row r="63" spans="1:58" ht="30.75" customHeight="1" thickBot="1">
      <c r="B63" s="65" t="s">
        <v>1193</v>
      </c>
      <c r="C63" s="249">
        <f>PrecoDeCompras_01*MARGEM_MINIMA_01</f>
        <v>7837.5000000000009</v>
      </c>
      <c r="D63" s="249">
        <f>PrecoDeCompras_02*MARGEM_MINIMA_02</f>
        <v>4037.5</v>
      </c>
      <c r="E63" s="249">
        <f>PrecoDeCompras_03*MARGEM_MINIMA_03</f>
        <v>19000</v>
      </c>
      <c r="F63" s="249">
        <f>PrecoDeCompras_04*MARGEM_MINIMA_04</f>
        <v>0</v>
      </c>
      <c r="G63" s="249">
        <f>PrecoDeCompras_05*MARGEM_MINIMA_05</f>
        <v>0</v>
      </c>
      <c r="H63" s="249">
        <f>PrecoDeCompras_06*MARGEM_MINIMA_06</f>
        <v>0</v>
      </c>
      <c r="I63" s="249">
        <f>PrecoDeCompras_07*MARGEM_MINIMA_07</f>
        <v>0</v>
      </c>
      <c r="J63" s="249">
        <f>PrecoDeCompras_08*MARGEM_MINIMA_08</f>
        <v>0</v>
      </c>
    </row>
    <row r="64" spans="1:58" ht="31.5" customHeight="1" thickBot="1">
      <c r="C64" s="149"/>
      <c r="D64" s="149"/>
      <c r="E64" s="150"/>
      <c r="F64" s="150"/>
      <c r="G64" s="151"/>
      <c r="H64" s="151"/>
      <c r="I64" s="151"/>
      <c r="J64" s="151"/>
    </row>
    <row r="65" spans="1:219" s="46" customFormat="1" ht="31.5" customHeight="1" thickTop="1" thickBot="1">
      <c r="A65" s="3"/>
      <c r="B65" s="271" t="s">
        <v>1331</v>
      </c>
      <c r="C65" s="272">
        <v>15000</v>
      </c>
      <c r="D65" s="272">
        <v>17000</v>
      </c>
      <c r="E65" s="272">
        <v>40000</v>
      </c>
      <c r="F65" s="272" t="s">
        <v>1131</v>
      </c>
      <c r="G65" s="272" t="s">
        <v>1131</v>
      </c>
      <c r="H65" s="272" t="s">
        <v>1131</v>
      </c>
      <c r="I65" s="272" t="s">
        <v>1131</v>
      </c>
      <c r="J65" s="273" t="s">
        <v>1131</v>
      </c>
      <c r="L65" s="3"/>
      <c r="M65" s="3"/>
      <c r="N65" s="3"/>
      <c r="O65" s="207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21"/>
      <c r="AS65" s="3"/>
      <c r="AT65" s="3"/>
      <c r="AU65" s="3"/>
      <c r="AV65" s="3"/>
      <c r="AW65" s="3"/>
      <c r="AX65" s="3"/>
      <c r="AY65" s="3"/>
      <c r="AZ65" s="3"/>
      <c r="BA65" s="3"/>
      <c r="BB65" s="359"/>
      <c r="BC65" s="359"/>
      <c r="BD65" s="359"/>
      <c r="BE65" s="359"/>
      <c r="BF65" s="359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</row>
    <row r="66" spans="1:219" s="46" customFormat="1" ht="31.5" customHeight="1">
      <c r="A66" s="3"/>
      <c r="B66" s="258" t="s">
        <v>1172</v>
      </c>
      <c r="C66" s="235">
        <f>IF(ISERROR(TIRAGEM_01*ValorUnitarioMKT_01),"0",TIRAGEM_01*ValorUnitarioMKT_01)</f>
        <v>15000</v>
      </c>
      <c r="D66" s="235">
        <f>IF(ISERROR(TIRAGEM_02*ValorUnitarioMKT_02),"0",TIRAGEM_02*ValorUnitarioMKT_02)</f>
        <v>17000</v>
      </c>
      <c r="E66" s="235">
        <f>IF(ISERROR(TIRAGEM_03*ValorUnitarioMKT_03),"0",TIRAGEM_03*ValorUnitarioMKT_03)</f>
        <v>40000</v>
      </c>
      <c r="F66" s="235">
        <f>IF(ISERROR(TIRAGEM_04*ValorUnitarioMKT_04),"0",TIRAGEM_04*ValorUnitarioMKT_04)</f>
        <v>0</v>
      </c>
      <c r="G66" s="235">
        <f>IF(ISERROR(TIRAGEM_05*ValorUnitarioMKT_05),"0",TIRAGEM_05*ValorUnitarioMKT_05)</f>
        <v>0</v>
      </c>
      <c r="H66" s="235">
        <f>IF(ISERROR(TIRAGEM_06*ValorUnitarioMKT_06),"0",TIRAGEM_06*ValorUnitarioMKT_06)</f>
        <v>0</v>
      </c>
      <c r="I66" s="235">
        <f>IF(ISERROR(TIRAGEM_07*ValorUnitarioMKT_07),"0",TIRAGEM_07*ValorUnitarioMKT_07)</f>
        <v>0</v>
      </c>
      <c r="J66" s="274">
        <f>IF(ISERROR(TIRAGEM_08*ValorUnitarioMKT_08),"0",TIRAGEM_08*ValorUnitarioMKT_08)</f>
        <v>0</v>
      </c>
      <c r="L66" s="3"/>
      <c r="M66" s="3"/>
      <c r="N66" s="3"/>
      <c r="O66" s="207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21"/>
      <c r="AS66" s="3"/>
      <c r="AT66" s="3"/>
      <c r="AU66" s="3"/>
      <c r="AV66" s="3"/>
      <c r="AW66" s="3"/>
      <c r="AX66" s="3"/>
      <c r="AY66" s="3"/>
      <c r="AZ66" s="3"/>
      <c r="BA66" s="3"/>
      <c r="BB66" s="359"/>
      <c r="BC66" s="359"/>
      <c r="BD66" s="359"/>
      <c r="BE66" s="359"/>
      <c r="BF66" s="359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</row>
    <row r="67" spans="1:219" s="46" customFormat="1" ht="31.5" customHeight="1">
      <c r="A67" s="3"/>
      <c r="B67" s="260" t="s">
        <v>1179</v>
      </c>
      <c r="C67" s="236">
        <f>IF(ISERROR(PrecoMKT_01/TIRAGEM_01),"0",PrecoMKT_01/TIRAGEM_01)</f>
        <v>1.5</v>
      </c>
      <c r="D67" s="236">
        <f>IF(ISERROR(PrecoMKT_02/TIRAGEM_02),"0",PrecoMKT_02/TIRAGEM_02)</f>
        <v>1.1333333333333333</v>
      </c>
      <c r="E67" s="236">
        <f>IF(ISERROR(PrecoMKT_03/TIRAGEM_03),"0",PrecoMKT_03/TIRAGEM_03)</f>
        <v>1.0526315789473684</v>
      </c>
      <c r="F67" s="236">
        <f>IF(ISERROR(PrecoMKT_04/TIRAGEM_04),"0",PrecoMKT_04/TIRAGEM_04)</f>
        <v>0</v>
      </c>
      <c r="G67" s="236">
        <f>IF(ISERROR(PrecoMKT_05/TIRAGEM_05),"0",PrecoMKT_05/TIRAGEM_05)</f>
        <v>0</v>
      </c>
      <c r="H67" s="236">
        <f>IF(ISERROR(PrecoMKT_06/TIRAGEM_06),"0",PrecoMKT_06/TIRAGEM_06)</f>
        <v>0</v>
      </c>
      <c r="I67" s="236">
        <f>IF(ISERROR(PrecoMKT_07/TIRAGEM_07),"0",PrecoMKT_07/TIRAGEM_07)</f>
        <v>0</v>
      </c>
      <c r="J67" s="275">
        <f>IF(ISERROR(PrecoMKT_08/TIRAGEM_08),"0",PrecoMKT_08/TIRAGEM_08)</f>
        <v>0</v>
      </c>
      <c r="L67" s="3"/>
      <c r="M67" s="3"/>
      <c r="N67" s="3"/>
      <c r="O67" s="20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21"/>
      <c r="AS67" s="3"/>
      <c r="AT67" s="3"/>
      <c r="AU67" s="3"/>
      <c r="AV67" s="3"/>
      <c r="AW67" s="3"/>
      <c r="AX67" s="3"/>
      <c r="AY67" s="3"/>
      <c r="AZ67" s="3"/>
      <c r="BA67" s="3"/>
      <c r="BB67" s="359"/>
      <c r="BC67" s="359"/>
      <c r="BD67" s="359"/>
      <c r="BE67" s="359"/>
      <c r="BF67" s="359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</row>
    <row r="68" spans="1:219" s="46" customFormat="1" ht="31.5" customHeight="1">
      <c r="A68" s="3"/>
      <c r="B68" s="260" t="s">
        <v>1180</v>
      </c>
      <c r="C68" s="237">
        <f>IF(ISERROR(MargemBrutaMKT_01/PrecoMKT_01),"0",MargemBrutaMKT_01/PrecoMKT_01)</f>
        <v>0.30405599999999999</v>
      </c>
      <c r="D68" s="237">
        <f>IF(ISERROR(MargemBrutaMKT_02/PrecoMKT_02),"0",MargemBrutaMKT_02/PrecoMKT_02)</f>
        <v>0.98</v>
      </c>
      <c r="E68" s="237">
        <f>IF(ISERROR(MargemBrutaMKT_03/PrecoMKT_03),"0",MargemBrutaMKT_03/PrecoMKT_03)</f>
        <v>0.77294200000000002</v>
      </c>
      <c r="F68" s="237" t="str">
        <f>IF(ISERROR(MargemBrutaMKT_04/PrecoMKT_04),"0",MargemBrutaMKT_04/PrecoMKT_04)</f>
        <v>0</v>
      </c>
      <c r="G68" s="237" t="str">
        <f>IF(ISERROR(MargemBrutaMKT_05/PrecoMKT_05),"0",MargemBrutaMKT_05/PrecoMKT_05)</f>
        <v>0</v>
      </c>
      <c r="H68" s="237" t="str">
        <f>IF(ISERROR(MargemBrutaMKT_06/PrecoMKT_06),"0",MargemBrutaMKT_06/PrecoMKT_06)</f>
        <v>0</v>
      </c>
      <c r="I68" s="237" t="str">
        <f>IF(ISERROR(MargemBrutaMKT_07/PrecoMKT_07),"0",MargemBrutaMKT_07/PrecoMKT_07)</f>
        <v>0</v>
      </c>
      <c r="J68" s="276" t="str">
        <f>IF(ISERROR(MargemBrutaMKT_08/PrecoMKT_08),"0",MargemBrutaMKT_08/PrecoMKT_08)</f>
        <v>0</v>
      </c>
      <c r="L68" s="3"/>
      <c r="M68" s="3"/>
      <c r="N68" s="3"/>
      <c r="O68" s="207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21"/>
      <c r="AS68" s="3"/>
      <c r="AT68" s="3"/>
      <c r="AU68" s="3"/>
      <c r="AV68" s="3"/>
      <c r="AW68" s="3"/>
      <c r="AX68" s="3"/>
      <c r="AY68" s="3"/>
      <c r="AZ68" s="3"/>
      <c r="BA68" s="3"/>
      <c r="BB68" s="359"/>
      <c r="BC68" s="359"/>
      <c r="BD68" s="359"/>
      <c r="BE68" s="359"/>
      <c r="BF68" s="359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</row>
    <row r="69" spans="1:219" s="46" customFormat="1" ht="31.5" customHeight="1">
      <c r="A69" s="3"/>
      <c r="B69" s="260" t="s">
        <v>1177</v>
      </c>
      <c r="C69" s="236">
        <f>IF(ISERROR(PrecoMKT_01-SomaCustos_01),"0",PrecoMKT_01-SomaCustos_01)</f>
        <v>4560.84</v>
      </c>
      <c r="D69" s="236">
        <f>IF(ISERROR(PrecoMKT_02-SomaCustos_02),"0",PrecoMKT_02-SomaCustos_02)</f>
        <v>16660</v>
      </c>
      <c r="E69" s="236">
        <f>IF(ISERROR(PrecoMKT_03-SomaCustos_03),"0",PrecoMKT_03-SomaCustos_03)</f>
        <v>30917.68</v>
      </c>
      <c r="F69" s="236">
        <f>IF(ISERROR(PrecoMKT_04-SomaCustos_04),"0",PrecoMKT_04-SomaCustos_04)</f>
        <v>0</v>
      </c>
      <c r="G69" s="236">
        <f>IF(ISERROR(PrecoMKT_05-SomaCustos_05),"0",PrecoMKT_05-SomaCustos_05)</f>
        <v>0</v>
      </c>
      <c r="H69" s="236">
        <f>IF(ISERROR(PrecoMKT_06-SomaCustos_06),"0",PrecoMKT_06-SomaCustos_06)</f>
        <v>0</v>
      </c>
      <c r="I69" s="236">
        <f>IF(ISERROR(PrecoMKT_07-SomaCustos_07),"0",PrecoMKT_07-SomaCustos_07)</f>
        <v>0</v>
      </c>
      <c r="J69" s="275">
        <f>IF(ISERROR(PrecoMKT_08-SomaCustos_08),"0",PrecoMKT_08-SomaCustos_08)</f>
        <v>0</v>
      </c>
      <c r="L69" s="3"/>
      <c r="M69" s="3"/>
      <c r="N69" s="3"/>
      <c r="O69" s="207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21"/>
      <c r="AS69" s="3"/>
      <c r="AT69" s="3"/>
      <c r="AU69" s="3"/>
      <c r="AV69" s="3"/>
      <c r="AW69" s="3"/>
      <c r="AX69" s="3"/>
      <c r="AY69" s="3"/>
      <c r="AZ69" s="3"/>
      <c r="BA69" s="3"/>
      <c r="BB69" s="359"/>
      <c r="BC69" s="359"/>
      <c r="BD69" s="359"/>
      <c r="BE69" s="359"/>
      <c r="BF69" s="359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</row>
    <row r="70" spans="1:219" s="46" customFormat="1" ht="31.5" customHeight="1" thickBot="1">
      <c r="A70" s="3"/>
      <c r="B70" s="263"/>
      <c r="C70" s="149"/>
      <c r="D70" s="149"/>
      <c r="E70" s="150"/>
      <c r="F70" s="150"/>
      <c r="G70" s="150"/>
      <c r="H70" s="150"/>
      <c r="I70" s="150"/>
      <c r="J70" s="277"/>
      <c r="L70" s="3"/>
      <c r="M70" s="3"/>
      <c r="N70" s="3"/>
      <c r="O70" s="207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21"/>
      <c r="AS70" s="3"/>
      <c r="AT70" s="3"/>
      <c r="AU70" s="3"/>
      <c r="AV70" s="3"/>
      <c r="AW70" s="3"/>
      <c r="AX70" s="3"/>
      <c r="AY70" s="3"/>
      <c r="AZ70" s="3"/>
      <c r="BA70" s="3"/>
      <c r="BB70" s="359"/>
      <c r="BC70" s="359"/>
      <c r="BD70" s="359"/>
      <c r="BE70" s="359"/>
      <c r="BF70" s="359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</row>
    <row r="71" spans="1:219" ht="31.5" customHeight="1">
      <c r="B71" s="265" t="s">
        <v>1329</v>
      </c>
      <c r="C71" s="233">
        <f>IF(C15="PRODUTO",IF(ISERROR(+PrecoMKT_01/PRODUTO),"",+PrecoMKT_01/PRODUTO),IF(ISERROR(+PrecoMKT_01/SERVICO),"",+PrecoMKT_01/SERVICO))</f>
        <v>16528.92561983471</v>
      </c>
      <c r="D71" s="233">
        <f>IF(D15="PRODUTO",IF(ISERROR(+PrecoMKT_02/PRODUTO),"",+PrecoMKT_02/PRODUTO),IF(ISERROR(+PrecoMKT_02/SERVICO),"",+PrecoMKT_02/SERVICO))</f>
        <v>18732.782369146007</v>
      </c>
      <c r="E71" s="233">
        <f>IF(E15="PRODUTO",IF(ISERROR(+PrecoMKT_03/PRODUTO),"",+PrecoMKT_03/PRODUTO),IF(ISERROR(+PrecoMKT_03/SERVICO),"",+PrecoMKT_03/SERVICO))</f>
        <v>46647.230320699709</v>
      </c>
      <c r="F71" s="233">
        <f>IF(F15="PRODUTO",IF(ISERROR(+PrecoMKT_04/PRODUTO),"",+PrecoMKT_04/PRODUTO),IF(ISERROR(+PrecoMKT_04/SERVICO),"",+PrecoMKT_04/SERVICO))</f>
        <v>0</v>
      </c>
      <c r="G71" s="233">
        <f>IF(G15="PRODUTO",IF(ISERROR(+PrecoMKT_05/PRODUTO),"",+PrecoMKT_05/PRODUTO),IF(ISERROR(+PrecoMKT_05/SERVICO),"",+PrecoMKT_05/SERVICO))</f>
        <v>0</v>
      </c>
      <c r="H71" s="233">
        <f>IF(H15="PRODUTO",IF(ISERROR(+PrecoMKT_06/PRODUTO),"",+PrecoMKT_06/PRODUTO),IF(ISERROR(+PrecoMKT_06/SERVICO),"",+PrecoMKT_06/SERVICO))</f>
        <v>0</v>
      </c>
      <c r="I71" s="233">
        <f>IF(I15="PRODUTO",IF(ISERROR(+PrecoMKT_07/PRODUTO),"",+PrecoMKT_07/PRODUTO),IF(ISERROR(+PrecoMKT_07/SERVICO),"",+PrecoMKT_07/SERVICO))</f>
        <v>0</v>
      </c>
      <c r="J71" s="278">
        <f>IF(J15="PRODUTO",IF(ISERROR(+PrecoMKT_08/PRODUTO),"",+PrecoMKT_08/PRODUTO),IF(ISERROR(+PrecoMKT_08/SERVICO),"",+PrecoMKT_08/SERVICO))</f>
        <v>0</v>
      </c>
    </row>
    <row r="72" spans="1:219" ht="31.5" customHeight="1">
      <c r="B72" s="260" t="s">
        <v>1188</v>
      </c>
      <c r="C72" s="200">
        <v>16528.92561983471</v>
      </c>
      <c r="D72" s="200">
        <v>19000</v>
      </c>
      <c r="E72" s="200">
        <v>47000</v>
      </c>
      <c r="F72" s="200">
        <v>0</v>
      </c>
      <c r="G72" s="200">
        <v>0</v>
      </c>
      <c r="H72" s="200">
        <v>0</v>
      </c>
      <c r="I72" s="200">
        <v>0</v>
      </c>
      <c r="J72" s="267">
        <v>0</v>
      </c>
    </row>
    <row r="73" spans="1:219" ht="31.5" customHeight="1" thickBot="1">
      <c r="B73" s="279" t="s">
        <v>1335</v>
      </c>
      <c r="C73" s="234">
        <f>IF(ISERROR(+ARREDONDAMENT0_01/TIRAGEM_01),"0",+ARREDONDAMENT0_01/TIRAGEM_01)</f>
        <v>1.6528925619834711</v>
      </c>
      <c r="D73" s="234">
        <f>IF(ISERROR(+ARREDONDAMENT0_02/TIRAGEM_02),"0",+ARREDONDAMENT0_02/TIRAGEM_02)</f>
        <v>1.2666666666666666</v>
      </c>
      <c r="E73" s="234">
        <f>IF(ISERROR(+ARREDONDAMENT0_03/TIRAGEM_03),"0",+ARREDONDAMENT0_03/TIRAGEM_03)</f>
        <v>1.236842105263158</v>
      </c>
      <c r="F73" s="234">
        <f>IF(ISERROR(+ARREDONDAMENT0_04/TIRAGEM_04),"0",+ARREDONDAMENT0_04/TIRAGEM_04)</f>
        <v>0</v>
      </c>
      <c r="G73" s="234">
        <f>IF(ISERROR(+ARREDONDAMENT0_05/TIRAGEM_05),"0",+ARREDONDAMENT0_05/TIRAGEM_05)</f>
        <v>0</v>
      </c>
      <c r="H73" s="234">
        <f>IF(ISERROR(+ARREDONDAMENT0_06/TIRAGEM_06),"0",+ARREDONDAMENT0_06/TIRAGEM_06)</f>
        <v>0</v>
      </c>
      <c r="I73" s="234">
        <f>IF(ISERROR(+ARREDONDAMENT0_07/TIRAGEM_07),"0",+ARREDONDAMENT0_07/TIRAGEM_07)</f>
        <v>0</v>
      </c>
      <c r="J73" s="280">
        <f>IF(ISERROR(+ARREDONDAMENT0_08/TIRAGEM_08),"0",+ARREDONDAMENT0_08/TIRAGEM_08)</f>
        <v>0</v>
      </c>
    </row>
    <row r="74" spans="1:219" s="46" customFormat="1" ht="31.5" customHeight="1">
      <c r="A74" s="3"/>
      <c r="B74" s="263"/>
      <c r="C74" s="149"/>
      <c r="D74" s="149"/>
      <c r="E74" s="150"/>
      <c r="F74" s="150"/>
      <c r="G74" s="150"/>
      <c r="H74" s="150"/>
      <c r="I74" s="150"/>
      <c r="J74" s="277"/>
      <c r="L74" s="3"/>
      <c r="M74" s="3"/>
      <c r="N74" s="3"/>
      <c r="O74" s="207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21"/>
      <c r="AS74" s="3"/>
      <c r="AT74" s="3"/>
      <c r="AU74" s="3"/>
      <c r="AV74" s="3"/>
      <c r="AW74" s="3"/>
      <c r="AX74" s="3"/>
      <c r="AY74" s="3"/>
      <c r="AZ74" s="3"/>
      <c r="BA74" s="3"/>
      <c r="BB74" s="359"/>
      <c r="BC74" s="359"/>
      <c r="BD74" s="359"/>
      <c r="BE74" s="359"/>
      <c r="BF74" s="359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</row>
    <row r="75" spans="1:219" ht="31.5" customHeight="1" thickBot="1">
      <c r="B75" s="268" t="s">
        <v>1334</v>
      </c>
      <c r="C75" s="281">
        <f>IF(ISERROR(PRECO_VENDA_GROSS_01*FASCICULOS_01),"",PRECO_VENDA_GROSS_01*FASCICULOS_01)</f>
        <v>165289.25619834711</v>
      </c>
      <c r="D75" s="281">
        <f>IF(ISERROR(PRECO_VENDA_GROSS_02*FASCICULOS_02),"",PRECO_VENDA_GROSS_02*FASCICULOS_02)</f>
        <v>37465.564738292014</v>
      </c>
      <c r="E75" s="281">
        <f>IF(ISERROR(PRECO_VENDA_GROSS_03*FASCICULOS_03),"",PRECO_VENDA_GROSS_03*FASCICULOS_03)</f>
        <v>139941.69096209912</v>
      </c>
      <c r="F75" s="281">
        <f>IF(ISERROR(PRECO_VENDA_GROSS_04*FASCICULOS_04),"",PRECO_VENDA_GROSS_04*FASCICULOS_04)</f>
        <v>0</v>
      </c>
      <c r="G75" s="281">
        <f>IF(ISERROR(PRECO_VENDA_GROSS_05*FASCICULOS_05),"",PRECO_VENDA_GROSS_05*FASCICULOS_05)</f>
        <v>0</v>
      </c>
      <c r="H75" s="281">
        <f>IF(ISERROR(PRECO_VENDA_GROSS_06*FASCICULOS_06),"",PRECO_VENDA_GROSS_06*FASCICULOS_06)</f>
        <v>0</v>
      </c>
      <c r="I75" s="281">
        <f>IF(ISERROR(PRECO_VENDA_GROSS_07*FASCICULOS_07),"",PRECO_VENDA_GROSS_07*FASCICULOS_07)</f>
        <v>0</v>
      </c>
      <c r="J75" s="282">
        <f>IF(ISERROR(PRECO_VENDA_GROSS_08*FASCICULOS_08),"",PRECO_VENDA_GROSS_08*FASCICULOS_08)</f>
        <v>0</v>
      </c>
    </row>
    <row r="76" spans="1:219" s="46" customFormat="1" ht="31.5" customHeight="1" thickTop="1">
      <c r="A76" s="3"/>
      <c r="B76" s="3"/>
      <c r="C76" s="149"/>
      <c r="D76" s="149"/>
      <c r="E76" s="150"/>
      <c r="F76" s="150"/>
      <c r="G76" s="151"/>
      <c r="H76" s="151"/>
      <c r="I76" s="151"/>
      <c r="J76" s="151"/>
      <c r="L76" s="3"/>
      <c r="M76" s="3"/>
      <c r="N76" s="3"/>
      <c r="O76" s="207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21"/>
      <c r="AS76" s="3"/>
      <c r="AT76" s="3"/>
      <c r="AU76" s="3"/>
      <c r="AV76" s="3"/>
      <c r="AW76" s="3"/>
      <c r="AX76" s="3"/>
      <c r="AY76" s="3"/>
      <c r="AZ76" s="3"/>
      <c r="BA76" s="3"/>
      <c r="BB76" s="359"/>
      <c r="BC76" s="359"/>
      <c r="BD76" s="359"/>
      <c r="BE76" s="359"/>
      <c r="BF76" s="359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</row>
    <row r="77" spans="1:219" s="46" customFormat="1" ht="31.5" customHeight="1" thickBot="1">
      <c r="A77" s="3"/>
      <c r="B77" s="3"/>
      <c r="C77" s="149"/>
      <c r="D77" s="149"/>
      <c r="E77" s="150"/>
      <c r="F77" s="150"/>
      <c r="G77" s="151"/>
      <c r="H77" s="151"/>
      <c r="I77" s="151"/>
      <c r="J77" s="151"/>
      <c r="L77" s="3"/>
      <c r="M77" s="3"/>
      <c r="N77" s="3"/>
      <c r="O77" s="20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21"/>
      <c r="AS77" s="3"/>
      <c r="AT77" s="3"/>
      <c r="AU77" s="3"/>
      <c r="AV77" s="3"/>
      <c r="AW77" s="3"/>
      <c r="AX77" s="3"/>
      <c r="AY77" s="3"/>
      <c r="AZ77" s="3"/>
      <c r="BA77" s="3"/>
      <c r="BB77" s="359"/>
      <c r="BC77" s="359"/>
      <c r="BD77" s="359"/>
      <c r="BE77" s="359"/>
      <c r="BF77" s="359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</row>
    <row r="78" spans="1:219" s="46" customFormat="1" ht="30.75" customHeight="1" thickBot="1">
      <c r="A78" s="3"/>
      <c r="B78" s="65" t="s">
        <v>1171</v>
      </c>
      <c r="C78" s="185">
        <v>0.05</v>
      </c>
      <c r="D78" s="185" t="s">
        <v>1183</v>
      </c>
      <c r="E78" s="185" t="s">
        <v>1183</v>
      </c>
      <c r="F78" s="185" t="s">
        <v>1183</v>
      </c>
      <c r="G78" s="185" t="s">
        <v>1183</v>
      </c>
      <c r="H78" s="185" t="s">
        <v>1183</v>
      </c>
      <c r="I78" s="185" t="s">
        <v>1183</v>
      </c>
      <c r="J78" s="284" t="s">
        <v>1183</v>
      </c>
      <c r="L78" s="3"/>
      <c r="M78" s="3"/>
      <c r="N78" s="3"/>
      <c r="O78" s="207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21"/>
      <c r="AS78" s="3"/>
      <c r="AT78" s="3"/>
      <c r="AU78" s="3"/>
      <c r="AV78" s="3"/>
      <c r="AW78" s="3"/>
      <c r="AX78" s="3"/>
      <c r="AY78" s="3"/>
      <c r="AZ78" s="3"/>
      <c r="BA78" s="3"/>
      <c r="BB78" s="359"/>
      <c r="BC78" s="359"/>
      <c r="BD78" s="359"/>
      <c r="BE78" s="359"/>
      <c r="BF78" s="359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</row>
    <row r="79" spans="1:219" s="46" customFormat="1" ht="30.75" customHeight="1" thickBot="1">
      <c r="A79" s="3"/>
      <c r="B79" s="285" t="s">
        <v>1332</v>
      </c>
      <c r="C79" s="232">
        <f>IF(ISERROR(PrecoMKT_01*(100%-DescontoPadrao_01)),"0",PrecoMKT_01*(100%-DescontoPadrao_01))</f>
        <v>14250</v>
      </c>
      <c r="D79" s="232">
        <f>IF(ISERROR(PrecoMKT_02*(100%-DescontoPadrao_02)),"0",PrecoMKT_02*(100%-DescontoPadrao_02))</f>
        <v>16150</v>
      </c>
      <c r="E79" s="232">
        <f>IF(ISERROR(PrecoMKT_03*(100%-DescontoPadrao_03)),"0",PrecoMKT_03*(100%-DescontoPadrao_03))</f>
        <v>38000</v>
      </c>
      <c r="F79" s="232">
        <f>IF(ISERROR(PrecoMKT_04*(100%-DescontoPadrao_04)),"0",PrecoMKT_04*(100%-DescontoPadrao_04))</f>
        <v>0</v>
      </c>
      <c r="G79" s="232">
        <f>IF(ISERROR(PrecoMKT_05*(100%-DescontoPadrao_05)),"0",PrecoMKT_05*(100%-DescontoPadrao_05))</f>
        <v>0</v>
      </c>
      <c r="H79" s="232">
        <f>IF(ISERROR(PrecoMKT_06*(100%-DescontoPadrao_06)),"0",PrecoMKT_06*(100%-DescontoPadrao_06))</f>
        <v>0</v>
      </c>
      <c r="I79" s="232">
        <f>IF(ISERROR(PrecoMKT_07*(100%-DescontoPadrao_07)),"0",PrecoMKT_07*(100%-DescontoPadrao_07))</f>
        <v>0</v>
      </c>
      <c r="J79" s="286">
        <f>IF(ISERROR(PrecoMKT_08*(100%-DescontoPadrao_08)),"0",PrecoMKT_08*(100%-DescontoPadrao_08))</f>
        <v>0</v>
      </c>
      <c r="L79" s="3"/>
      <c r="M79" s="3"/>
      <c r="N79" s="3"/>
      <c r="O79" s="207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21"/>
      <c r="AS79" s="3"/>
      <c r="AT79" s="3"/>
      <c r="AU79" s="3"/>
      <c r="AV79" s="3"/>
      <c r="AW79" s="3"/>
      <c r="AX79" s="3"/>
      <c r="AY79" s="3"/>
      <c r="AZ79" s="3"/>
      <c r="BA79" s="3"/>
      <c r="BB79" s="359"/>
      <c r="BC79" s="359"/>
      <c r="BD79" s="359"/>
      <c r="BE79" s="359"/>
      <c r="BF79" s="359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</row>
    <row r="80" spans="1:219" s="46" customFormat="1" ht="30.75" customHeight="1" thickBot="1">
      <c r="A80" s="3"/>
      <c r="B80" s="65" t="s">
        <v>1172</v>
      </c>
      <c r="C80" s="184">
        <v>14300</v>
      </c>
      <c r="D80" s="184" t="s">
        <v>1131</v>
      </c>
      <c r="E80" s="184" t="s">
        <v>1131</v>
      </c>
      <c r="F80" s="184" t="s">
        <v>1131</v>
      </c>
      <c r="G80" s="184" t="s">
        <v>1131</v>
      </c>
      <c r="H80" s="184" t="s">
        <v>1131</v>
      </c>
      <c r="I80" s="184" t="s">
        <v>1131</v>
      </c>
      <c r="J80" s="287" t="s">
        <v>1131</v>
      </c>
      <c r="L80" s="3"/>
      <c r="M80" s="3"/>
      <c r="N80" s="3"/>
      <c r="O80" s="207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21"/>
      <c r="AS80" s="3"/>
      <c r="AT80" s="3"/>
      <c r="AU80" s="3"/>
      <c r="AV80" s="3"/>
      <c r="AW80" s="3"/>
      <c r="AX80" s="3"/>
      <c r="AY80" s="3"/>
      <c r="AZ80" s="3"/>
      <c r="BA80" s="3"/>
      <c r="BB80" s="359"/>
      <c r="BC80" s="359"/>
      <c r="BD80" s="359"/>
      <c r="BE80" s="359"/>
      <c r="BF80" s="359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</row>
    <row r="81" spans="1:219" s="46" customFormat="1" ht="30.75" customHeight="1">
      <c r="A81" s="3"/>
      <c r="B81" s="288" t="s">
        <v>1174</v>
      </c>
      <c r="C81" s="229">
        <f>IF(ISERROR(+(PrecoDeCompras_01-SomaCustos_01)/PrecoDeCompras_01),"0",+(PrecoDeCompras_01-SomaCustos_01)/PrecoDeCompras_01)</f>
        <v>0.26742736842105264</v>
      </c>
      <c r="D81" s="229">
        <f>IF(ISERROR(+(PrecoDeCompras_02-SomaCustos_02)/PrecoDeCompras_02),"0",+(PrecoDeCompras_02-SomaCustos_02)/PrecoDeCompras_02)</f>
        <v>0.97894736842105268</v>
      </c>
      <c r="E81" s="229">
        <f>IF(ISERROR(+(PrecoDeCompras_03-SomaCustos_03)/PrecoDeCompras_03),"0",+(PrecoDeCompras_03-SomaCustos_03)/PrecoDeCompras_03)</f>
        <v>0.76099157894736846</v>
      </c>
      <c r="F81" s="229" t="str">
        <f>IF(ISERROR(+(PrecoDeCompras_04-SomaCustos_04)/PrecoDeCompras_04),"0",+(PrecoDeCompras_04-SomaCustos_04)/PrecoDeCompras_04)</f>
        <v>0</v>
      </c>
      <c r="G81" s="229" t="str">
        <f>IF(ISERROR(+(PrecoDeCompras_05-SomaCustos_05)/PrecoDeCompras_05),"0",+(PrecoDeCompras_05-SomaCustos_05)/PrecoDeCompras_05)</f>
        <v>0</v>
      </c>
      <c r="H81" s="229" t="str">
        <f>IF(ISERROR(+(PrecoDeCompras_06-SomaCustos_06)/PrecoDeCompras_06),"0",+(PrecoDeCompras_06-SomaCustos_06)/PrecoDeCompras_06)</f>
        <v>0</v>
      </c>
      <c r="I81" s="229" t="str">
        <f>IF(ISERROR(+(PrecoDeCompras_07-SomaCustos_07)/PrecoDeCompras_07),"0",+(PrecoDeCompras_07-SomaCustos_07)/PrecoDeCompras_07)</f>
        <v>0</v>
      </c>
      <c r="J81" s="289" t="str">
        <f>IF(ISERROR(+(PrecoDeCompras_08-SomaCustos_08)/PrecoDeCompras_08),"0",+(PrecoDeCompras_08-SomaCustos_08)/PrecoDeCompras_08)</f>
        <v>0</v>
      </c>
      <c r="L81" s="3"/>
      <c r="M81" s="3"/>
      <c r="N81" s="3"/>
      <c r="O81" s="207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21"/>
      <c r="AS81" s="3"/>
      <c r="AT81" s="3"/>
      <c r="AU81" s="3"/>
      <c r="AV81" s="3"/>
      <c r="AW81" s="3"/>
      <c r="AX81" s="3"/>
      <c r="AY81" s="3"/>
      <c r="AZ81" s="3"/>
      <c r="BA81" s="3"/>
      <c r="BB81" s="359"/>
      <c r="BC81" s="359"/>
      <c r="BD81" s="359"/>
      <c r="BE81" s="359"/>
      <c r="BF81" s="359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</row>
    <row r="82" spans="1:219" s="46" customFormat="1" ht="30.75" customHeight="1">
      <c r="A82" s="3"/>
      <c r="B82" s="92" t="s">
        <v>1175</v>
      </c>
      <c r="C82" s="230">
        <f>IF(ISERROR(PrecoDeCompras_01/TIRAGEM_01),"0",PrecoDeCompras_01/TIRAGEM_01)</f>
        <v>1.425</v>
      </c>
      <c r="D82" s="230">
        <f>IF(ISERROR(PrecoDeCompras_02/TIRAGEM_02),"0",PrecoDeCompras_02/TIRAGEM_02)</f>
        <v>1.0766666666666667</v>
      </c>
      <c r="E82" s="230">
        <f>IF(ISERROR(PrecoDeCompras_03/TIRAGEM_03),"0",PrecoDeCompras_03/TIRAGEM_03)</f>
        <v>1</v>
      </c>
      <c r="F82" s="230">
        <f>IF(ISERROR(PrecoDeCompras_04/TIRAGEM_04),"0",PrecoDeCompras_04/TIRAGEM_04)</f>
        <v>0</v>
      </c>
      <c r="G82" s="230">
        <f>IF(ISERROR(PrecoDeCompras_05/TIRAGEM_05),"0",PrecoDeCompras_05/TIRAGEM_05)</f>
        <v>0</v>
      </c>
      <c r="H82" s="230">
        <f>IF(ISERROR(PrecoDeCompras_06/TIRAGEM_06),"0",PrecoDeCompras_06/TIRAGEM_06)</f>
        <v>0</v>
      </c>
      <c r="I82" s="230">
        <f>IF(ISERROR(PrecoDeCompras_07/TIRAGEM_07),"0",PrecoDeCompras_07/TIRAGEM_07)</f>
        <v>0</v>
      </c>
      <c r="J82" s="290">
        <f>IF(ISERROR(PrecoDeCompras_08/TIRAGEM_08),"0",PrecoDeCompras_08/TIRAGEM_08)</f>
        <v>0</v>
      </c>
      <c r="L82" s="3"/>
      <c r="M82" s="3"/>
      <c r="N82" s="3"/>
      <c r="O82" s="207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21"/>
      <c r="AS82" s="3"/>
      <c r="AT82" s="3"/>
      <c r="AU82" s="3"/>
      <c r="AV82" s="3"/>
      <c r="AW82" s="3"/>
      <c r="AX82" s="3"/>
      <c r="AY82" s="3"/>
      <c r="AZ82" s="3"/>
      <c r="BA82" s="3"/>
      <c r="BB82" s="359"/>
      <c r="BC82" s="359"/>
      <c r="BD82" s="359"/>
      <c r="BE82" s="359"/>
      <c r="BF82" s="359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</row>
    <row r="83" spans="1:219" s="46" customFormat="1" ht="30.75" customHeight="1">
      <c r="A83" s="3"/>
      <c r="B83" s="92" t="s">
        <v>1176</v>
      </c>
      <c r="C83" s="231">
        <f>IF(ISERROR(+(PrecoDeCompras_01/PrecoMKT_01)-1),"0",+(PrecoDeCompras_01/PrecoMKT_01)-1)</f>
        <v>-5.0000000000000044E-2</v>
      </c>
      <c r="D83" s="231">
        <f>IF(ISERROR(+(PrecoDeCompras_02/PrecoMKT_02)-1),"0",+(PrecoDeCompras_02/PrecoMKT_02)-1)</f>
        <v>-5.0000000000000044E-2</v>
      </c>
      <c r="E83" s="231">
        <f>IF(ISERROR(+(PrecoDeCompras_03/PrecoMKT_03)-1),"0",+(PrecoDeCompras_03/PrecoMKT_03)-1)</f>
        <v>-5.0000000000000044E-2</v>
      </c>
      <c r="F83" s="231" t="str">
        <f>IF(ISERROR(+(PrecoDeCompras_04/PrecoMKT_04)-1),"0",+(PrecoDeCompras_04/PrecoMKT_04)-1)</f>
        <v>0</v>
      </c>
      <c r="G83" s="231" t="str">
        <f>IF(ISERROR(+(PrecoDeCompras_05/PrecoMKT_05)-1),"0",+(PrecoDeCompras_05/PrecoMKT_05)-1)</f>
        <v>0</v>
      </c>
      <c r="H83" s="231" t="str">
        <f>IF(ISERROR(+(PrecoDeCompras_06/PrecoMKT_06)-1),"0",+(PrecoDeCompras_06/PrecoMKT_06)-1)</f>
        <v>0</v>
      </c>
      <c r="I83" s="231" t="str">
        <f>IF(ISERROR(+(PrecoDeCompras_07/PrecoMKT_07)-1),"0",+(PrecoDeCompras_07/PrecoMKT_07)-1)</f>
        <v>0</v>
      </c>
      <c r="J83" s="291" t="str">
        <f>IF(ISERROR(+(PrecoDeCompras_08/PrecoMKT_08)-1),"0",+(PrecoDeCompras_08/PrecoMKT_08)-1)</f>
        <v>0</v>
      </c>
      <c r="L83" s="3"/>
      <c r="M83" s="3"/>
      <c r="N83" s="3"/>
      <c r="O83" s="207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21"/>
      <c r="AS83" s="3"/>
      <c r="AT83" s="3"/>
      <c r="AU83" s="3"/>
      <c r="AV83" s="3"/>
      <c r="AW83" s="3"/>
      <c r="AX83" s="3"/>
      <c r="AY83" s="3"/>
      <c r="AZ83" s="3"/>
      <c r="BA83" s="3"/>
      <c r="BB83" s="359"/>
      <c r="BC83" s="359"/>
      <c r="BD83" s="359"/>
      <c r="BE83" s="359"/>
      <c r="BF83" s="359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</row>
    <row r="84" spans="1:219" s="46" customFormat="1" ht="30.75" customHeight="1">
      <c r="A84" s="3"/>
      <c r="B84" s="92" t="s">
        <v>1177</v>
      </c>
      <c r="C84" s="230">
        <f>IF(ISERROR(PrecoTotal_01-SomaCustos_01),"0",PrecoTotal_01-SomaCustos_01)</f>
        <v>3860.84</v>
      </c>
      <c r="D84" s="230">
        <f>IF(ISERROR(PrecoTotal_02-SomaCustos_02),"0",PrecoTotal_02-SomaCustos_02)</f>
        <v>-340</v>
      </c>
      <c r="E84" s="230">
        <f>IF(ISERROR(PrecoTotal_03-SomaCustos_03),"0",PrecoTotal_03-SomaCustos_03)</f>
        <v>-9082.32</v>
      </c>
      <c r="F84" s="230">
        <f>IF(ISERROR(PrecoTotal_04-SomaCustos_04),"0",PrecoTotal_04-SomaCustos_04)</f>
        <v>0</v>
      </c>
      <c r="G84" s="230">
        <f>IF(ISERROR(PrecoTotal_05-SomaCustos_05),"0",PrecoTotal_05-SomaCustos_05)</f>
        <v>0</v>
      </c>
      <c r="H84" s="230">
        <f>IF(ISERROR(PrecoTotal_06-SomaCustos_06),"0",PrecoTotal_06-SomaCustos_06)</f>
        <v>0</v>
      </c>
      <c r="I84" s="230">
        <f>IF(ISERROR(PrecoTotal_07-SomaCustos_07),"0",PrecoTotal_07-SomaCustos_07)</f>
        <v>0</v>
      </c>
      <c r="J84" s="290">
        <f>IF(ISERROR(PrecoTotal_08-SomaCustos_08),"0",PrecoTotal_08-SomaCustos_08)</f>
        <v>0</v>
      </c>
      <c r="L84" s="3"/>
      <c r="M84" s="3"/>
      <c r="N84" s="3"/>
      <c r="O84" s="207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21"/>
      <c r="AS84" s="3"/>
      <c r="AT84" s="3"/>
      <c r="AU84" s="3"/>
      <c r="AV84" s="3"/>
      <c r="AW84" s="3"/>
      <c r="AX84" s="3"/>
      <c r="AY84" s="3"/>
      <c r="AZ84" s="3"/>
      <c r="BA84" s="3"/>
      <c r="BB84" s="359"/>
      <c r="BC84" s="359"/>
      <c r="BD84" s="359"/>
      <c r="BE84" s="359"/>
      <c r="BF84" s="359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</row>
    <row r="85" spans="1:219" s="46" customFormat="1" ht="31.5" customHeight="1" thickBot="1">
      <c r="A85" s="3"/>
      <c r="B85" s="292"/>
      <c r="C85" s="152"/>
      <c r="D85" s="152"/>
      <c r="E85" s="153"/>
      <c r="F85" s="153"/>
      <c r="G85" s="153"/>
      <c r="H85" s="153"/>
      <c r="I85" s="153"/>
      <c r="J85" s="293"/>
      <c r="L85" s="3"/>
      <c r="M85" s="3"/>
      <c r="N85" s="3"/>
      <c r="O85" s="207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21"/>
      <c r="AS85" s="3"/>
      <c r="AT85" s="3"/>
      <c r="AU85" s="3"/>
      <c r="AV85" s="3"/>
      <c r="AW85" s="3"/>
      <c r="AX85" s="3"/>
      <c r="AY85" s="3"/>
      <c r="AZ85" s="3"/>
      <c r="BA85" s="3"/>
      <c r="BB85" s="359"/>
      <c r="BC85" s="359"/>
      <c r="BD85" s="359"/>
      <c r="BE85" s="359"/>
      <c r="BF85" s="359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</row>
    <row r="86" spans="1:219" ht="31.5" customHeight="1">
      <c r="B86" s="89" t="s">
        <v>1328</v>
      </c>
      <c r="C86" s="228">
        <f>IF(C23="PRODUTO",IF(ISERROR(+PrecoDeCompras_01/PRODUTO),"",+PrecoDeCompras_01/PRODUTO),IF(ISERROR(+PrecoDeCompras_01/SERVICO),"",+PrecoDeCompras_01/SERVICO))</f>
        <v>16618.07580174927</v>
      </c>
      <c r="D86" s="228">
        <f>IF(D23="PRODUTO",IF(ISERROR(+PrecoDeCompras_02/PRODUTO),"",+PrecoDeCompras_02/PRODUTO),IF(ISERROR(+PrecoDeCompras_02/SERVICO),"",+PrecoDeCompras_02/SERVICO))</f>
        <v>18833.819241982506</v>
      </c>
      <c r="E86" s="228">
        <f>IF(E23="PRODUTO",IF(ISERROR(+PrecoDeCompras_03/PRODUTO),"",+PrecoDeCompras_03/PRODUTO),IF(ISERROR(+PrecoDeCompras_03/SERVICO),"",+PrecoDeCompras_03/SERVICO))</f>
        <v>44314.868804664722</v>
      </c>
      <c r="F86" s="228">
        <f>IF(F23="PRODUTO",IF(ISERROR(+PrecoDeCompras_04/PRODUTO),"",+PrecoDeCompras_04/PRODUTO),IF(ISERROR(+PrecoDeCompras_04/SERVICO),"",+PrecoDeCompras_04/SERVICO))</f>
        <v>0</v>
      </c>
      <c r="G86" s="228">
        <f>IF(G23="PRODUTO",IF(ISERROR(+PrecoDeCompras_05/PRODUTO),"",+PrecoDeCompras_05/PRODUTO),IF(ISERROR(+PrecoDeCompras_05/SERVICO),"",+PrecoDeCompras_05/SERVICO))</f>
        <v>0</v>
      </c>
      <c r="H86" s="228">
        <f>IF(H23="PRODUTO",IF(ISERROR(+PrecoDeCompras_06/PRODUTO),"",+PrecoDeCompras_06/PRODUTO),IF(ISERROR(+PrecoDeCompras_06/SERVICO),"",+PrecoDeCompras_06/SERVICO))</f>
        <v>0</v>
      </c>
      <c r="I86" s="228">
        <f>IF(I23="PRODUTO",IF(ISERROR(+PrecoDeCompras_07/PRODUTO),"",+PrecoDeCompras_07/PRODUTO),IF(ISERROR(+PrecoDeCompras_07/SERVICO),"",+PrecoDeCompras_07/SERVICO))</f>
        <v>0</v>
      </c>
      <c r="J86" s="294">
        <f>IF(J23="PRODUTO",IF(ISERROR(+PrecoDeCompras_08/PRODUTO),"",+PrecoDeCompras_08/PRODUTO),IF(ISERROR(+PrecoDeCompras_08/SERVICO),"",+PrecoDeCompras_08/SERVICO))</f>
        <v>0</v>
      </c>
    </row>
    <row r="87" spans="1:219" ht="31.5" customHeight="1">
      <c r="B87" s="92" t="s">
        <v>1188</v>
      </c>
      <c r="C87" s="200">
        <v>16619</v>
      </c>
      <c r="D87" s="200">
        <v>0</v>
      </c>
      <c r="E87" s="200">
        <v>0</v>
      </c>
      <c r="F87" s="200">
        <v>0</v>
      </c>
      <c r="G87" s="200">
        <v>0</v>
      </c>
      <c r="H87" s="200">
        <v>0</v>
      </c>
      <c r="I87" s="200">
        <v>0</v>
      </c>
      <c r="J87" s="295">
        <v>0</v>
      </c>
    </row>
    <row r="88" spans="1:219" ht="31.5" customHeight="1" thickBot="1">
      <c r="B88" s="296" t="s">
        <v>1330</v>
      </c>
      <c r="C88" s="269">
        <f>IF(ISERROR(+ARREDONDAMENTO_COMPRAS_01/TIRAGEM_01),"0",+ARREDONDAMENTO_COMPRAS_01/TIRAGEM_01)</f>
        <v>1.6618999999999999</v>
      </c>
      <c r="D88" s="269">
        <f>IF(ISERROR(+ARREDONDAMENTO_COMPRAS_02/TIRAGEM_02),"0",+ARREDONDAMENTO_COMPRAS_02/TIRAGEM_02)</f>
        <v>0</v>
      </c>
      <c r="E88" s="269">
        <f>IF(ISERROR(+ARREDONDAMENTO_COMPRAS_03/TIRAGEM_03),"0",+ARREDONDAMENTO_COMPRAS_03/TIRAGEM_03)</f>
        <v>0</v>
      </c>
      <c r="F88" s="269">
        <f>IF(ISERROR(+ARREDONDAMENTO_COMPRAS_04/TIRAGEM_04),"0",+ARREDONDAMENTO_COMPRAS_04/TIRAGEM_04)</f>
        <v>0</v>
      </c>
      <c r="G88" s="269">
        <f>IF(ISERROR(+ARREDONDAMENTO_COMPRAS_05/TIRAGEM_05),"0",+ARREDONDAMENTO_COMPRAS_05/TIRAGEM_05)</f>
        <v>0</v>
      </c>
      <c r="H88" s="269">
        <f>IF(ISERROR(+ARREDONDAMENTO_COMPRAS_06/TIRAGEM_06),"0",+ARREDONDAMENTO_COMPRAS_06/TIRAGEM_06)</f>
        <v>0</v>
      </c>
      <c r="I88" s="269">
        <f>IF(ISERROR(+ARREDONDAMENTO_COMPRAS_07/TIRAGEM_07),"0",+ARREDONDAMENTO_COMPRAS_07/TIRAGEM_07)</f>
        <v>0</v>
      </c>
      <c r="J88" s="297">
        <f>IF(ISERROR(+ARREDONDAMENTO_COMPRAS_08/TIRAGEM_08),"0",+ARREDONDAMENTO_COMPRAS_08/TIRAGEM_08)</f>
        <v>0</v>
      </c>
    </row>
    <row r="89" spans="1:219" s="46" customFormat="1" ht="31.5" customHeight="1" thickTop="1">
      <c r="A89" s="3"/>
      <c r="B89" s="292"/>
      <c r="C89" s="152"/>
      <c r="D89" s="152"/>
      <c r="E89" s="153"/>
      <c r="F89" s="153"/>
      <c r="G89" s="153"/>
      <c r="H89" s="153"/>
      <c r="I89" s="153"/>
      <c r="J89" s="293"/>
      <c r="L89" s="3"/>
      <c r="M89" s="3"/>
      <c r="N89" s="3"/>
      <c r="O89" s="207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21"/>
      <c r="AS89" s="3"/>
      <c r="AT89" s="3"/>
      <c r="AU89" s="3"/>
      <c r="AV89" s="3"/>
      <c r="AW89" s="3"/>
      <c r="AX89" s="3"/>
      <c r="AY89" s="3"/>
      <c r="AZ89" s="3"/>
      <c r="BA89" s="3"/>
      <c r="BB89" s="359"/>
      <c r="BC89" s="359"/>
      <c r="BD89" s="359"/>
      <c r="BE89" s="359"/>
      <c r="BF89" s="359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</row>
    <row r="90" spans="1:219" ht="31.5" customHeight="1" thickBot="1">
      <c r="B90" s="93" t="s">
        <v>1333</v>
      </c>
      <c r="C90" s="298">
        <f>IF(ISERROR(PRECO_VENDA_COMPRAS_01*FASCICULOS_01),"",PRECO_VENDA_COMPRAS_01*FASCICULOS_01)</f>
        <v>166180.75801749271</v>
      </c>
      <c r="D90" s="298">
        <f>IF(ISERROR(PRECO_VENDA_COMPRAS_02*FASCICULOS_02),"",PRECO_VENDA_COMPRAS_02*FASCICULOS_02)</f>
        <v>37667.638483965013</v>
      </c>
      <c r="E90" s="298">
        <f>IF(ISERROR(PRECO_VENDA_COMPRAS_03*FASCICULOS_03),"",PRECO_VENDA_COMPRAS_03*FASCICULOS_03)</f>
        <v>132944.60641399416</v>
      </c>
      <c r="F90" s="298">
        <f>IF(ISERROR(PRECO_VENDA_COMPRAS_04*FASCICULOS_04),"",PRECO_VENDA_COMPRAS_04*FASCICULOS_04)</f>
        <v>0</v>
      </c>
      <c r="G90" s="298">
        <f>IF(ISERROR(PRECO_VENDA_COMPRAS_05*FASCICULOS_05),"",PRECO_VENDA_COMPRAS_05*FASCICULOS_05)</f>
        <v>0</v>
      </c>
      <c r="H90" s="298">
        <f>IF(ISERROR(PRECO_VENDA_COMPRAS_06*FASCICULOS_06),"",PRECO_VENDA_COMPRAS_06*FASCICULOS_06)</f>
        <v>0</v>
      </c>
      <c r="I90" s="298">
        <f>IF(ISERROR(PRECO_VENDA_COMPRAS_07*FASCICULOS_07),"",PRECO_VENDA_COMPRAS_07*FASCICULOS_07)</f>
        <v>0</v>
      </c>
      <c r="J90" s="299">
        <f>IF(ISERROR(PRECO_VENDA_COMPRAS_08*FASCICULOS_08),"",PRECO_VENDA_COMPRAS_08*FASCICULOS_08)</f>
        <v>0</v>
      </c>
    </row>
    <row r="91" spans="1:219" s="46" customFormat="1" ht="31.5" customHeight="1">
      <c r="A91" s="3"/>
      <c r="B91" s="3"/>
      <c r="C91" s="152"/>
      <c r="D91" s="152"/>
      <c r="E91" s="153"/>
      <c r="F91" s="153"/>
      <c r="G91" s="154"/>
      <c r="H91" s="154"/>
      <c r="I91" s="154"/>
      <c r="J91" s="154"/>
      <c r="L91" s="3"/>
      <c r="M91" s="3"/>
      <c r="N91" s="3"/>
      <c r="O91" s="207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21"/>
      <c r="AS91" s="3"/>
      <c r="AT91" s="3"/>
      <c r="AU91" s="3"/>
      <c r="AV91" s="3"/>
      <c r="AW91" s="3"/>
      <c r="AX91" s="3"/>
      <c r="AY91" s="3"/>
      <c r="AZ91" s="3"/>
      <c r="BA91" s="3"/>
      <c r="BB91" s="359"/>
      <c r="BC91" s="359"/>
      <c r="BD91" s="359"/>
      <c r="BE91" s="359"/>
      <c r="BF91" s="359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</row>
    <row r="92" spans="1:219" s="46" customFormat="1" ht="31.5" customHeight="1">
      <c r="A92" s="3"/>
      <c r="B92" s="3"/>
      <c r="C92" s="152"/>
      <c r="D92" s="152"/>
      <c r="E92" s="153"/>
      <c r="F92" s="153"/>
      <c r="G92" s="154"/>
      <c r="H92" s="154"/>
      <c r="I92" s="154"/>
      <c r="J92" s="154"/>
      <c r="L92" s="3"/>
      <c r="M92" s="3"/>
      <c r="N92" s="3"/>
      <c r="O92" s="207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21"/>
      <c r="AS92" s="3"/>
      <c r="AT92" s="3"/>
      <c r="AU92" s="3"/>
      <c r="AV92" s="3"/>
      <c r="AW92" s="3"/>
      <c r="AX92" s="3"/>
      <c r="AY92" s="3"/>
      <c r="AZ92" s="3"/>
      <c r="BA92" s="3"/>
      <c r="BB92" s="359"/>
      <c r="BC92" s="359"/>
      <c r="BD92" s="359"/>
      <c r="BE92" s="359"/>
      <c r="BF92" s="359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</row>
    <row r="93" spans="1:219" s="46" customFormat="1" ht="30.75" customHeight="1">
      <c r="A93" s="3"/>
      <c r="B93" s="79" t="s">
        <v>1190</v>
      </c>
      <c r="C93" s="250">
        <v>0.90749999999999997</v>
      </c>
      <c r="D93" s="152"/>
      <c r="E93" s="153"/>
      <c r="F93" s="153"/>
      <c r="G93" s="154"/>
      <c r="H93" s="154"/>
      <c r="I93" s="154"/>
      <c r="J93" s="154"/>
      <c r="L93" s="3"/>
      <c r="M93" s="3"/>
      <c r="N93" s="3"/>
      <c r="O93" s="207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21"/>
      <c r="AS93" s="3"/>
      <c r="AT93" s="3"/>
      <c r="AU93" s="3"/>
      <c r="AV93" s="3"/>
      <c r="AW93" s="3"/>
      <c r="AX93" s="3"/>
      <c r="AY93" s="3"/>
      <c r="AZ93" s="3"/>
      <c r="BA93" s="3"/>
      <c r="BB93" s="359"/>
      <c r="BC93" s="359"/>
      <c r="BD93" s="359"/>
      <c r="BE93" s="359"/>
      <c r="BF93" s="359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</row>
    <row r="94" spans="1:219" s="46" customFormat="1" ht="30.75" customHeight="1">
      <c r="A94" s="3"/>
      <c r="B94" s="79" t="s">
        <v>1191</v>
      </c>
      <c r="C94" s="250">
        <v>0.85750000000000004</v>
      </c>
      <c r="D94" s="149"/>
      <c r="E94" s="150"/>
      <c r="F94" s="150"/>
      <c r="G94" s="151"/>
      <c r="H94" s="151"/>
      <c r="I94" s="151"/>
      <c r="J94" s="151"/>
      <c r="L94" s="3"/>
      <c r="M94" s="3"/>
      <c r="N94" s="3"/>
      <c r="O94" s="207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21"/>
      <c r="AS94" s="3"/>
      <c r="AT94" s="3"/>
      <c r="AU94" s="3"/>
      <c r="AV94" s="3"/>
      <c r="AW94" s="3"/>
      <c r="AX94" s="3"/>
      <c r="AY94" s="3"/>
      <c r="AZ94" s="3"/>
      <c r="BA94" s="3"/>
      <c r="BB94" s="359"/>
      <c r="BC94" s="359"/>
      <c r="BD94" s="359"/>
      <c r="BE94" s="359"/>
      <c r="BF94" s="359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</row>
    <row r="95" spans="1:219" ht="31.5" customHeight="1">
      <c r="C95" s="149"/>
      <c r="D95" s="149"/>
      <c r="E95" s="150"/>
      <c r="F95" s="150"/>
      <c r="G95" s="151"/>
      <c r="H95" s="151"/>
      <c r="I95" s="151"/>
      <c r="J95" s="151"/>
    </row>
    <row r="99" spans="3:10" ht="31.5" customHeight="1">
      <c r="C99" s="149"/>
      <c r="D99" s="149"/>
      <c r="E99" s="150"/>
      <c r="F99" s="150"/>
      <c r="G99" s="151"/>
      <c r="H99" s="151"/>
      <c r="I99" s="151"/>
      <c r="J99" s="151"/>
    </row>
    <row r="1048522" spans="1:219" s="19" customFormat="1">
      <c r="A1048522" s="3"/>
      <c r="B1048522" s="31" t="s">
        <v>1129</v>
      </c>
      <c r="E1048522" s="3"/>
      <c r="F1048522" s="3"/>
      <c r="G1048522" s="13"/>
      <c r="H1048522" s="13"/>
      <c r="I1048522" s="13"/>
      <c r="J1048522" s="13"/>
      <c r="K1048522" s="46"/>
      <c r="L1048522" s="3"/>
      <c r="M1048522" s="3"/>
      <c r="N1048522" s="3"/>
      <c r="O1048522" s="207"/>
      <c r="P1048522" s="3"/>
      <c r="Q1048522" s="3"/>
      <c r="R1048522" s="3"/>
      <c r="S1048522" s="3"/>
      <c r="T1048522" s="3"/>
      <c r="U1048522" s="3"/>
      <c r="V1048522" s="3"/>
      <c r="W1048522" s="3"/>
      <c r="X1048522" s="3"/>
      <c r="Y1048522" s="3"/>
      <c r="Z1048522" s="3"/>
      <c r="AA1048522" s="3"/>
      <c r="AB1048522" s="3"/>
      <c r="AC1048522" s="3"/>
      <c r="AD1048522" s="3"/>
      <c r="AE1048522" s="3"/>
      <c r="AF1048522" s="3"/>
      <c r="AG1048522" s="3"/>
      <c r="AH1048522" s="3"/>
      <c r="AI1048522" s="3"/>
      <c r="AJ1048522" s="3"/>
      <c r="AK1048522" s="3"/>
      <c r="AL1048522" s="3"/>
      <c r="AM1048522" s="3"/>
      <c r="AN1048522" s="3"/>
      <c r="AO1048522" s="3"/>
      <c r="AP1048522" s="3"/>
      <c r="AQ1048522" s="3"/>
      <c r="AR1048522" s="321"/>
      <c r="AS1048522" s="3"/>
      <c r="AT1048522" s="3"/>
      <c r="AU1048522" s="3"/>
      <c r="AV1048522" s="3"/>
      <c r="AW1048522" s="3"/>
      <c r="AX1048522" s="3"/>
      <c r="AY1048522" s="3"/>
      <c r="AZ1048522" s="3"/>
      <c r="BA1048522" s="3"/>
      <c r="BB1048522" s="359"/>
      <c r="BC1048522" s="359"/>
      <c r="BD1048522" s="359"/>
      <c r="BE1048522" s="359"/>
      <c r="BF1048522" s="359"/>
      <c r="BG1048522" s="3"/>
      <c r="BH1048522" s="3"/>
      <c r="BI1048522" s="3"/>
      <c r="BJ1048522" s="3"/>
      <c r="BK1048522" s="3"/>
      <c r="BL1048522" s="3"/>
      <c r="BM1048522" s="3"/>
      <c r="BN1048522" s="3"/>
      <c r="BO1048522" s="3"/>
      <c r="BP1048522" s="3"/>
      <c r="BQ1048522" s="3"/>
      <c r="BR1048522" s="3"/>
      <c r="BS1048522" s="3"/>
      <c r="BT1048522" s="3"/>
      <c r="BU1048522" s="3"/>
      <c r="BV1048522" s="3"/>
      <c r="BW1048522" s="3"/>
      <c r="BX1048522" s="3"/>
      <c r="BY1048522" s="3"/>
      <c r="BZ1048522" s="3"/>
      <c r="CA1048522" s="3"/>
      <c r="CB1048522" s="3"/>
      <c r="CC1048522" s="3"/>
      <c r="CD1048522" s="3"/>
      <c r="CE1048522" s="3"/>
      <c r="CF1048522" s="3"/>
      <c r="CG1048522" s="3"/>
      <c r="CH1048522" s="3"/>
      <c r="CI1048522" s="3"/>
      <c r="CJ1048522" s="3"/>
      <c r="CK1048522" s="3"/>
      <c r="CL1048522" s="3"/>
      <c r="CM1048522" s="3"/>
      <c r="CN1048522" s="3"/>
      <c r="CO1048522" s="3"/>
      <c r="CP1048522" s="3"/>
      <c r="CQ1048522" s="3"/>
      <c r="CR1048522" s="3"/>
      <c r="CS1048522" s="3"/>
      <c r="CT1048522" s="3"/>
      <c r="CU1048522" s="3"/>
      <c r="CV1048522" s="3"/>
      <c r="CW1048522" s="3"/>
      <c r="CX1048522" s="3"/>
      <c r="CY1048522" s="3"/>
      <c r="CZ1048522" s="3"/>
      <c r="DA1048522" s="3"/>
      <c r="DB1048522" s="3"/>
      <c r="DC1048522" s="3"/>
      <c r="DD1048522" s="3"/>
      <c r="DE1048522" s="3"/>
      <c r="DF1048522" s="3"/>
      <c r="DG1048522" s="3"/>
      <c r="DH1048522" s="3"/>
      <c r="DI1048522" s="3"/>
      <c r="DJ1048522" s="3"/>
      <c r="DK1048522" s="3"/>
      <c r="DL1048522" s="3"/>
      <c r="DM1048522" s="3"/>
      <c r="DN1048522" s="3"/>
      <c r="DO1048522" s="3"/>
      <c r="DP1048522" s="3"/>
      <c r="DQ1048522" s="3"/>
      <c r="DR1048522" s="3"/>
      <c r="DS1048522" s="3"/>
      <c r="DT1048522" s="3"/>
      <c r="DU1048522" s="3"/>
      <c r="DV1048522" s="3"/>
      <c r="DW1048522" s="3"/>
      <c r="DX1048522" s="3"/>
      <c r="DY1048522" s="3"/>
      <c r="DZ1048522" s="3"/>
      <c r="EA1048522" s="3"/>
      <c r="EB1048522" s="3"/>
      <c r="EC1048522" s="3"/>
      <c r="ED1048522" s="3"/>
      <c r="EE1048522" s="3"/>
      <c r="EF1048522" s="3"/>
      <c r="EG1048522" s="3"/>
      <c r="EH1048522" s="3"/>
      <c r="EI1048522" s="3"/>
      <c r="EJ1048522" s="3"/>
      <c r="EK1048522" s="3"/>
      <c r="EL1048522" s="3"/>
      <c r="EM1048522" s="3"/>
      <c r="EN1048522" s="3"/>
      <c r="EO1048522" s="3"/>
      <c r="EP1048522" s="3"/>
      <c r="EQ1048522" s="3"/>
      <c r="ER1048522" s="3"/>
      <c r="ES1048522" s="3"/>
      <c r="ET1048522" s="3"/>
      <c r="EU1048522" s="3"/>
      <c r="EV1048522" s="3"/>
      <c r="EW1048522" s="3"/>
      <c r="EX1048522" s="3"/>
      <c r="EY1048522" s="3"/>
      <c r="EZ1048522" s="3"/>
      <c r="FA1048522" s="3"/>
      <c r="FB1048522" s="3"/>
      <c r="FC1048522" s="3"/>
      <c r="FD1048522" s="3"/>
      <c r="FE1048522" s="3"/>
      <c r="FF1048522" s="3"/>
      <c r="FG1048522" s="3"/>
      <c r="FH1048522" s="3"/>
      <c r="FI1048522" s="3"/>
      <c r="FJ1048522" s="3"/>
      <c r="FK1048522" s="3"/>
      <c r="FL1048522" s="3"/>
      <c r="FM1048522" s="3"/>
      <c r="FN1048522" s="3"/>
      <c r="FO1048522" s="3"/>
      <c r="FP1048522" s="3"/>
      <c r="FQ1048522" s="3"/>
      <c r="FR1048522" s="3"/>
      <c r="FS1048522" s="3"/>
      <c r="FT1048522" s="3"/>
      <c r="FU1048522" s="3"/>
      <c r="FV1048522" s="3"/>
      <c r="FW1048522" s="3"/>
      <c r="FX1048522" s="3"/>
      <c r="FY1048522" s="3"/>
      <c r="FZ1048522" s="3"/>
      <c r="GA1048522" s="3"/>
      <c r="GB1048522" s="3"/>
      <c r="GC1048522" s="3"/>
      <c r="GD1048522" s="3"/>
      <c r="GE1048522" s="3"/>
      <c r="GF1048522" s="3"/>
      <c r="GG1048522" s="3"/>
      <c r="GH1048522" s="3"/>
      <c r="GI1048522" s="3"/>
      <c r="GJ1048522" s="3"/>
      <c r="GK1048522" s="3"/>
      <c r="GL1048522" s="3"/>
      <c r="GM1048522" s="3"/>
      <c r="GN1048522" s="3"/>
      <c r="GO1048522" s="3"/>
      <c r="GP1048522" s="3"/>
      <c r="GQ1048522" s="3"/>
      <c r="GR1048522" s="3"/>
      <c r="GS1048522" s="3"/>
      <c r="GT1048522" s="3"/>
      <c r="GU1048522" s="3"/>
      <c r="GV1048522" s="3"/>
      <c r="GW1048522" s="3"/>
      <c r="GX1048522" s="3"/>
      <c r="GY1048522" s="3"/>
      <c r="GZ1048522" s="3"/>
      <c r="HA1048522" s="3"/>
      <c r="HB1048522" s="3"/>
      <c r="HC1048522" s="3"/>
      <c r="HD1048522" s="3"/>
      <c r="HE1048522" s="3"/>
      <c r="HF1048522" s="3"/>
      <c r="HG1048522" s="3"/>
      <c r="HH1048522" s="3"/>
      <c r="HI1048522" s="3"/>
      <c r="HJ1048522" s="3"/>
      <c r="HK1048522" s="3"/>
    </row>
    <row r="1048523" spans="1:219" s="19" customFormat="1">
      <c r="A1048523" s="3"/>
      <c r="B1048523" s="31" t="s">
        <v>1128</v>
      </c>
      <c r="E1048523" s="3"/>
      <c r="F1048523" s="3"/>
      <c r="G1048523" s="13"/>
      <c r="H1048523" s="13"/>
      <c r="I1048523" s="13"/>
      <c r="J1048523" s="13"/>
      <c r="K1048523" s="46"/>
      <c r="L1048523" s="3"/>
      <c r="M1048523" s="3"/>
      <c r="N1048523" s="3"/>
      <c r="O1048523" s="207"/>
      <c r="P1048523" s="3"/>
      <c r="Q1048523" s="3"/>
      <c r="R1048523" s="3"/>
      <c r="S1048523" s="3"/>
      <c r="T1048523" s="3"/>
      <c r="U1048523" s="3"/>
      <c r="V1048523" s="3"/>
      <c r="W1048523" s="3"/>
      <c r="X1048523" s="3"/>
      <c r="Y1048523" s="3"/>
      <c r="Z1048523" s="3"/>
      <c r="AA1048523" s="3"/>
      <c r="AB1048523" s="3"/>
      <c r="AC1048523" s="3"/>
      <c r="AD1048523" s="3"/>
      <c r="AE1048523" s="3"/>
      <c r="AF1048523" s="3"/>
      <c r="AG1048523" s="3"/>
      <c r="AH1048523" s="3"/>
      <c r="AI1048523" s="3"/>
      <c r="AJ1048523" s="3"/>
      <c r="AK1048523" s="3"/>
      <c r="AL1048523" s="3"/>
      <c r="AM1048523" s="3"/>
      <c r="AN1048523" s="3"/>
      <c r="AO1048523" s="3"/>
      <c r="AP1048523" s="3"/>
      <c r="AQ1048523" s="3"/>
      <c r="AR1048523" s="321"/>
      <c r="AS1048523" s="3"/>
      <c r="AT1048523" s="3"/>
      <c r="AU1048523" s="3"/>
      <c r="AV1048523" s="3"/>
      <c r="AW1048523" s="3"/>
      <c r="AX1048523" s="3"/>
      <c r="AY1048523" s="3"/>
      <c r="AZ1048523" s="3"/>
      <c r="BA1048523" s="3"/>
      <c r="BB1048523" s="359"/>
      <c r="BC1048523" s="359"/>
      <c r="BD1048523" s="359"/>
      <c r="BE1048523" s="359"/>
      <c r="BF1048523" s="359"/>
      <c r="BG1048523" s="3"/>
      <c r="BH1048523" s="3"/>
      <c r="BI1048523" s="3"/>
      <c r="BJ1048523" s="3"/>
      <c r="BK1048523" s="3"/>
      <c r="BL1048523" s="3"/>
      <c r="BM1048523" s="3"/>
      <c r="BN1048523" s="3"/>
      <c r="BO1048523" s="3"/>
      <c r="BP1048523" s="3"/>
      <c r="BQ1048523" s="3"/>
      <c r="BR1048523" s="3"/>
      <c r="BS1048523" s="3"/>
      <c r="BT1048523" s="3"/>
      <c r="BU1048523" s="3"/>
      <c r="BV1048523" s="3"/>
      <c r="BW1048523" s="3"/>
      <c r="BX1048523" s="3"/>
      <c r="BY1048523" s="3"/>
      <c r="BZ1048523" s="3"/>
      <c r="CA1048523" s="3"/>
      <c r="CB1048523" s="3"/>
      <c r="CC1048523" s="3"/>
      <c r="CD1048523" s="3"/>
      <c r="CE1048523" s="3"/>
      <c r="CF1048523" s="3"/>
      <c r="CG1048523" s="3"/>
      <c r="CH1048523" s="3"/>
      <c r="CI1048523" s="3"/>
      <c r="CJ1048523" s="3"/>
      <c r="CK1048523" s="3"/>
      <c r="CL1048523" s="3"/>
      <c r="CM1048523" s="3"/>
      <c r="CN1048523" s="3"/>
      <c r="CO1048523" s="3"/>
      <c r="CP1048523" s="3"/>
      <c r="CQ1048523" s="3"/>
      <c r="CR1048523" s="3"/>
      <c r="CS1048523" s="3"/>
      <c r="CT1048523" s="3"/>
      <c r="CU1048523" s="3"/>
      <c r="CV1048523" s="3"/>
      <c r="CW1048523" s="3"/>
      <c r="CX1048523" s="3"/>
      <c r="CY1048523" s="3"/>
      <c r="CZ1048523" s="3"/>
      <c r="DA1048523" s="3"/>
      <c r="DB1048523" s="3"/>
      <c r="DC1048523" s="3"/>
      <c r="DD1048523" s="3"/>
      <c r="DE1048523" s="3"/>
      <c r="DF1048523" s="3"/>
      <c r="DG1048523" s="3"/>
      <c r="DH1048523" s="3"/>
      <c r="DI1048523" s="3"/>
      <c r="DJ1048523" s="3"/>
      <c r="DK1048523" s="3"/>
      <c r="DL1048523" s="3"/>
      <c r="DM1048523" s="3"/>
      <c r="DN1048523" s="3"/>
      <c r="DO1048523" s="3"/>
      <c r="DP1048523" s="3"/>
      <c r="DQ1048523" s="3"/>
      <c r="DR1048523" s="3"/>
      <c r="DS1048523" s="3"/>
      <c r="DT1048523" s="3"/>
      <c r="DU1048523" s="3"/>
      <c r="DV1048523" s="3"/>
      <c r="DW1048523" s="3"/>
      <c r="DX1048523" s="3"/>
      <c r="DY1048523" s="3"/>
      <c r="DZ1048523" s="3"/>
      <c r="EA1048523" s="3"/>
      <c r="EB1048523" s="3"/>
      <c r="EC1048523" s="3"/>
      <c r="ED1048523" s="3"/>
      <c r="EE1048523" s="3"/>
      <c r="EF1048523" s="3"/>
      <c r="EG1048523" s="3"/>
      <c r="EH1048523" s="3"/>
      <c r="EI1048523" s="3"/>
      <c r="EJ1048523" s="3"/>
      <c r="EK1048523" s="3"/>
      <c r="EL1048523" s="3"/>
      <c r="EM1048523" s="3"/>
      <c r="EN1048523" s="3"/>
      <c r="EO1048523" s="3"/>
      <c r="EP1048523" s="3"/>
      <c r="EQ1048523" s="3"/>
      <c r="ER1048523" s="3"/>
      <c r="ES1048523" s="3"/>
      <c r="ET1048523" s="3"/>
      <c r="EU1048523" s="3"/>
      <c r="EV1048523" s="3"/>
      <c r="EW1048523" s="3"/>
      <c r="EX1048523" s="3"/>
      <c r="EY1048523" s="3"/>
      <c r="EZ1048523" s="3"/>
      <c r="FA1048523" s="3"/>
      <c r="FB1048523" s="3"/>
      <c r="FC1048523" s="3"/>
      <c r="FD1048523" s="3"/>
      <c r="FE1048523" s="3"/>
      <c r="FF1048523" s="3"/>
      <c r="FG1048523" s="3"/>
      <c r="FH1048523" s="3"/>
      <c r="FI1048523" s="3"/>
      <c r="FJ1048523" s="3"/>
      <c r="FK1048523" s="3"/>
      <c r="FL1048523" s="3"/>
      <c r="FM1048523" s="3"/>
      <c r="FN1048523" s="3"/>
      <c r="FO1048523" s="3"/>
      <c r="FP1048523" s="3"/>
      <c r="FQ1048523" s="3"/>
      <c r="FR1048523" s="3"/>
      <c r="FS1048523" s="3"/>
      <c r="FT1048523" s="3"/>
      <c r="FU1048523" s="3"/>
      <c r="FV1048523" s="3"/>
      <c r="FW1048523" s="3"/>
      <c r="FX1048523" s="3"/>
      <c r="FY1048523" s="3"/>
      <c r="FZ1048523" s="3"/>
      <c r="GA1048523" s="3"/>
      <c r="GB1048523" s="3"/>
      <c r="GC1048523" s="3"/>
      <c r="GD1048523" s="3"/>
      <c r="GE1048523" s="3"/>
      <c r="GF1048523" s="3"/>
      <c r="GG1048523" s="3"/>
      <c r="GH1048523" s="3"/>
      <c r="GI1048523" s="3"/>
      <c r="GJ1048523" s="3"/>
      <c r="GK1048523" s="3"/>
      <c r="GL1048523" s="3"/>
      <c r="GM1048523" s="3"/>
      <c r="GN1048523" s="3"/>
      <c r="GO1048523" s="3"/>
      <c r="GP1048523" s="3"/>
      <c r="GQ1048523" s="3"/>
      <c r="GR1048523" s="3"/>
      <c r="GS1048523" s="3"/>
      <c r="GT1048523" s="3"/>
      <c r="GU1048523" s="3"/>
      <c r="GV1048523" s="3"/>
      <c r="GW1048523" s="3"/>
      <c r="GX1048523" s="3"/>
      <c r="GY1048523" s="3"/>
      <c r="GZ1048523" s="3"/>
      <c r="HA1048523" s="3"/>
      <c r="HB1048523" s="3"/>
      <c r="HC1048523" s="3"/>
      <c r="HD1048523" s="3"/>
      <c r="HE1048523" s="3"/>
      <c r="HF1048523" s="3"/>
      <c r="HG1048523" s="3"/>
      <c r="HH1048523" s="3"/>
      <c r="HI1048523" s="3"/>
      <c r="HJ1048523" s="3"/>
      <c r="HK1048523" s="3"/>
    </row>
  </sheetData>
  <dataConsolidate/>
  <mergeCells count="38">
    <mergeCell ref="AM28:AM29"/>
    <mergeCell ref="AM31:AM32"/>
    <mergeCell ref="AM13:AM14"/>
    <mergeCell ref="AM16:AM17"/>
    <mergeCell ref="AM19:AM20"/>
    <mergeCell ref="AM22:AM23"/>
    <mergeCell ref="AM25:AM26"/>
    <mergeCell ref="AD1:AI1"/>
    <mergeCell ref="AL1:AP1"/>
    <mergeCell ref="AL2:AP2"/>
    <mergeCell ref="AM10:AM11"/>
    <mergeCell ref="W3:Z3"/>
    <mergeCell ref="B1:J1"/>
    <mergeCell ref="L1:N1"/>
    <mergeCell ref="P1:Q1"/>
    <mergeCell ref="S1:T1"/>
    <mergeCell ref="V1:Z1"/>
    <mergeCell ref="B6:B7"/>
    <mergeCell ref="C6:H7"/>
    <mergeCell ref="B2:J2"/>
    <mergeCell ref="C3:E3"/>
    <mergeCell ref="G3:H3"/>
    <mergeCell ref="C4:E4"/>
    <mergeCell ref="G4:H4"/>
    <mergeCell ref="I4:I7"/>
    <mergeCell ref="J4:J7"/>
    <mergeCell ref="C5:H5"/>
    <mergeCell ref="B59:J59"/>
    <mergeCell ref="C8:J8"/>
    <mergeCell ref="C9:J9"/>
    <mergeCell ref="C10:J10"/>
    <mergeCell ref="B11:J11"/>
    <mergeCell ref="B24:J24"/>
    <mergeCell ref="B30:J30"/>
    <mergeCell ref="B31:J31"/>
    <mergeCell ref="B32:J32"/>
    <mergeCell ref="B33:J33"/>
    <mergeCell ref="B34:J34"/>
  </mergeCells>
  <conditionalFormatting sqref="C12:J12">
    <cfRule type="expression" dxfId="3" priority="2">
      <formula>$K$12&lt;&gt;"OK"</formula>
    </cfRule>
  </conditionalFormatting>
  <conditionalFormatting sqref="J4:J7">
    <cfRule type="expression" dxfId="2" priority="1">
      <formula>$K$4&lt;&gt;"OK"</formula>
    </cfRule>
  </conditionalFormatting>
  <dataValidations count="21">
    <dataValidation type="list" errorStyle="warning" errorTitle="Validação" error="Favor preencher conforme a lista!" sqref="GR4:GT4">
      <formula1>#REF!</formula1>
    </dataValidation>
    <dataValidation type="list" allowBlank="1" sqref="GY3 GR17:GY17 GQ31:GY31 GR25:GY29">
      <formula1>#REF!</formula1>
    </dataValidation>
    <dataValidation type="list" allowBlank="1" errorTitle="Validação" error="Favor preencher conforme a lista!" sqref="GR8:GY9">
      <formula1>#REF!</formula1>
    </dataValidation>
    <dataValidation type="list" allowBlank="1" sqref="GV5:GW5">
      <formula1>$L$3:$L$15</formula1>
    </dataValidation>
    <dataValidation type="list" allowBlank="1" sqref="GR15:GY15">
      <formula1>$S$3:$S$4</formula1>
    </dataValidation>
    <dataValidation type="list" allowBlank="1" sqref="GR20:GY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HD3">
      <formula1>0</formula1>
    </dataValidation>
    <dataValidation type="list" allowBlank="1" showInputMessage="1" showErrorMessage="1" sqref="C13:J13">
      <formula1>LINHA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.14000000000000001" right="0.18" top="0.39370078740157483" bottom="0.35433070866141736" header="0.23622047244094491" footer="0.15748031496062992"/>
  <pageSetup paperSize="9" scale="46" orientation="landscape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91">
    <tabColor indexed="13"/>
    <pageSetUpPr fitToPage="1"/>
  </sheetPr>
  <dimension ref="A1:HK1048523"/>
  <sheetViews>
    <sheetView showGridLines="0" topLeftCell="AB1" zoomScale="55" zoomScaleNormal="55" zoomScaleSheetLayoutView="25" workbookViewId="0">
      <selection activeCell="AH7" sqref="AH7"/>
    </sheetView>
  </sheetViews>
  <sheetFormatPr defaultColWidth="9.140625" defaultRowHeight="15"/>
  <cols>
    <col min="1" max="1" width="12.140625" style="3" bestFit="1" customWidth="1"/>
    <col min="2" max="2" width="62.5703125" style="3" customWidth="1"/>
    <col min="3" max="3" width="33" style="19" customWidth="1"/>
    <col min="4" max="4" width="31.140625" style="19" customWidth="1"/>
    <col min="5" max="6" width="31.140625" style="3" customWidth="1"/>
    <col min="7" max="10" width="31.140625" style="13" customWidth="1"/>
    <col min="11" max="11" width="7.140625" style="46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5.140625" style="207" bestFit="1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7" width="9.140625" style="3" customWidth="1"/>
    <col min="28" max="28" width="12.28515625" style="3" bestFit="1" customWidth="1"/>
    <col min="29" max="35" width="23" style="3" customWidth="1"/>
    <col min="36" max="37" width="9.140625" style="3" customWidth="1"/>
    <col min="38" max="38" width="28" style="3" bestFit="1" customWidth="1"/>
    <col min="39" max="39" width="18.5703125" style="3" bestFit="1" customWidth="1"/>
    <col min="40" max="40" width="41.140625" style="3" bestFit="1" customWidth="1"/>
    <col min="41" max="41" width="16" style="3" bestFit="1" customWidth="1"/>
    <col min="42" max="42" width="20.140625" style="3" bestFit="1" customWidth="1"/>
    <col min="43" max="43" width="9.140625" style="3" customWidth="1"/>
    <col min="44" max="44" width="2.7109375" style="321" bestFit="1" customWidth="1"/>
    <col min="45" max="197" width="9.140625" style="3" customWidth="1"/>
    <col min="198" max="198" width="28.7109375" style="3" customWidth="1"/>
    <col min="199" max="199" width="39.140625" style="3" customWidth="1"/>
    <col min="200" max="202" width="19.7109375" style="3" customWidth="1"/>
    <col min="203" max="203" width="21.5703125" style="3" customWidth="1"/>
    <col min="204" max="206" width="19.7109375" style="3" customWidth="1"/>
    <col min="207" max="207" width="37.85546875" style="3" customWidth="1"/>
    <col min="208" max="208" width="26.85546875" style="3" customWidth="1"/>
    <col min="209" max="209" width="36.7109375" style="3" customWidth="1"/>
    <col min="210" max="210" width="3" style="3" customWidth="1"/>
    <col min="211" max="211" width="30" style="3" customWidth="1"/>
    <col min="212" max="212" width="25.5703125" style="3" customWidth="1"/>
    <col min="213" max="213" width="19.140625" style="3" customWidth="1"/>
    <col min="214" max="214" width="7.28515625" style="3" customWidth="1"/>
    <col min="215" max="215" width="10.85546875" style="3" customWidth="1"/>
    <col min="216" max="216" width="13.5703125" style="3" customWidth="1"/>
    <col min="217" max="217" width="22.85546875" style="3" customWidth="1"/>
    <col min="218" max="218" width="34.7109375" style="3" customWidth="1"/>
    <col min="219" max="219" width="19.7109375" style="3" customWidth="1"/>
    <col min="220" max="16384" width="9.140625" style="3"/>
  </cols>
  <sheetData>
    <row r="1" spans="1:44" s="2" customFormat="1" ht="57" customHeight="1">
      <c r="A1" s="29" t="s">
        <v>1278</v>
      </c>
      <c r="B1" s="413" t="s">
        <v>1276</v>
      </c>
      <c r="C1" s="414"/>
      <c r="D1" s="414"/>
      <c r="E1" s="414"/>
      <c r="F1" s="414"/>
      <c r="G1" s="414"/>
      <c r="H1" s="414"/>
      <c r="I1" s="414"/>
      <c r="J1" s="415"/>
      <c r="K1" s="45"/>
      <c r="L1" s="397" t="s">
        <v>626</v>
      </c>
      <c r="M1" s="397"/>
      <c r="N1" s="397"/>
      <c r="O1" s="207"/>
      <c r="P1" s="416" t="s">
        <v>610</v>
      </c>
      <c r="Q1" s="416"/>
      <c r="S1" s="416" t="s">
        <v>580</v>
      </c>
      <c r="T1" s="416"/>
      <c r="V1" s="423" t="s">
        <v>644</v>
      </c>
      <c r="W1" s="423"/>
      <c r="X1" s="423"/>
      <c r="Y1" s="423"/>
      <c r="Z1" s="423"/>
      <c r="AB1" s="30"/>
      <c r="AC1" s="30"/>
      <c r="AD1" s="397" t="s">
        <v>1237</v>
      </c>
      <c r="AE1" s="397"/>
      <c r="AF1" s="397"/>
      <c r="AG1" s="397"/>
      <c r="AH1" s="397"/>
      <c r="AI1" s="397"/>
      <c r="AJ1"/>
      <c r="AK1"/>
      <c r="AL1" s="397" t="s">
        <v>1239</v>
      </c>
      <c r="AM1" s="397"/>
      <c r="AN1" s="397"/>
      <c r="AO1" s="397"/>
      <c r="AP1" s="397"/>
      <c r="AR1" s="347" t="s">
        <v>1352</v>
      </c>
    </row>
    <row r="2" spans="1:44" s="2" customFormat="1" ht="30.75" customHeight="1" thickBot="1">
      <c r="A2" s="29"/>
      <c r="B2" s="388" t="s">
        <v>578</v>
      </c>
      <c r="C2" s="389"/>
      <c r="D2" s="389"/>
      <c r="E2" s="389"/>
      <c r="F2" s="389"/>
      <c r="G2" s="389"/>
      <c r="H2" s="389"/>
      <c r="I2" s="389"/>
      <c r="J2" s="390"/>
      <c r="K2" s="46"/>
      <c r="L2" s="15" t="s">
        <v>598</v>
      </c>
      <c r="M2" s="15" t="s">
        <v>627</v>
      </c>
      <c r="N2" s="15" t="s">
        <v>628</v>
      </c>
      <c r="O2" s="208"/>
      <c r="P2" s="15" t="s">
        <v>610</v>
      </c>
      <c r="Q2" s="15" t="s">
        <v>638</v>
      </c>
      <c r="S2" s="15" t="s">
        <v>580</v>
      </c>
      <c r="T2" s="15" t="s">
        <v>581</v>
      </c>
      <c r="V2" s="15" t="s">
        <v>645</v>
      </c>
      <c r="W2" s="16" t="s">
        <v>646</v>
      </c>
      <c r="X2" s="17"/>
      <c r="Y2" s="17"/>
      <c r="Z2" s="18"/>
      <c r="AB2" s="15" t="s">
        <v>1281</v>
      </c>
      <c r="AC2" s="15" t="s">
        <v>1336</v>
      </c>
      <c r="AD2" s="15" t="s">
        <v>1283</v>
      </c>
      <c r="AE2" s="15" t="s">
        <v>1282</v>
      </c>
      <c r="AF2" s="15" t="s">
        <v>1238</v>
      </c>
      <c r="AG2" s="15" t="s">
        <v>1260</v>
      </c>
      <c r="AH2" s="15" t="s">
        <v>1262</v>
      </c>
      <c r="AI2" s="15" t="s">
        <v>1235</v>
      </c>
      <c r="AJ2"/>
      <c r="AK2"/>
      <c r="AL2" s="417" t="s">
        <v>1240</v>
      </c>
      <c r="AM2" s="418"/>
      <c r="AN2" s="418"/>
      <c r="AO2" s="418"/>
      <c r="AP2" s="419"/>
      <c r="AR2" s="321"/>
    </row>
    <row r="3" spans="1:44" s="5" customFormat="1" ht="56.25" customHeight="1">
      <c r="A3" s="213"/>
      <c r="B3" s="243" t="s">
        <v>592</v>
      </c>
      <c r="C3" s="445" t="s">
        <v>1364</v>
      </c>
      <c r="D3" s="446"/>
      <c r="E3" s="447"/>
      <c r="F3" s="246" t="s">
        <v>1274</v>
      </c>
      <c r="G3" s="471">
        <v>41874</v>
      </c>
      <c r="H3" s="472"/>
      <c r="I3" s="247" t="s">
        <v>577</v>
      </c>
      <c r="J3" s="227"/>
      <c r="K3" s="45"/>
      <c r="L3" s="70" t="s">
        <v>1200</v>
      </c>
      <c r="M3" s="48" t="s">
        <v>1198</v>
      </c>
      <c r="N3" s="48" t="s">
        <v>1199</v>
      </c>
      <c r="O3" s="207"/>
      <c r="P3" s="32" t="s">
        <v>1291</v>
      </c>
      <c r="Q3" s="66" t="s">
        <v>1296</v>
      </c>
      <c r="S3" s="32" t="s">
        <v>1307</v>
      </c>
      <c r="T3" s="55" t="s">
        <v>1308</v>
      </c>
      <c r="V3" s="57">
        <v>0</v>
      </c>
      <c r="W3" s="394" t="s">
        <v>1363</v>
      </c>
      <c r="X3" s="395"/>
      <c r="Y3" s="395"/>
      <c r="Z3" s="396"/>
      <c r="AB3" s="170">
        <v>1</v>
      </c>
      <c r="AC3" s="170">
        <v>1</v>
      </c>
      <c r="AD3" s="358" t="s">
        <v>1365</v>
      </c>
      <c r="AE3" s="358" t="s">
        <v>1366</v>
      </c>
      <c r="AF3" s="169">
        <v>3200</v>
      </c>
      <c r="AG3" s="165">
        <f t="shared" ref="AG3:AG27" si="0">(AF3-AH3)/(1-AI3)</f>
        <v>3370.552941176471</v>
      </c>
      <c r="AH3" s="166">
        <f>IF(AND(AF3&gt;$AO$4,AF3&lt;=$AP$4),$AN$4,IF(AND(AF3&gt;$AO$5,AF3&lt;=$AP$5),$AN$5,IF(AND(AF3&gt;$AO$6,AF3&lt;=$AP$6),$AN$6,IF(AND(AF3&gt;$AO$7,AF3&lt;=$AP$7),$AN$8,IF(AND(AF3&gt;$AO$8,AF3&lt;=$AP$8),$AN$8,0)))))</f>
        <v>335.03</v>
      </c>
      <c r="AI3" s="167">
        <f>IF(AND(AF3&gt;$AO$4,AF3&lt;=$AP$4),$AM$4,IF(AND(AF3&gt;$AO$5,AF3&lt;=$AP$5),$AM$5,IF(AND(AF3&gt;$AO$6,AF3&lt;=$AP$6),$AM$6,IF(AND(AF3&gt;$AO$7,AF3&lt;=$AP$7),$AM$8,IF(AND(AF3&gt;$AO$8,AF3&lt;=$AP$8),$AM$8,0)))))</f>
        <v>0.15</v>
      </c>
      <c r="AJ3"/>
      <c r="AK3"/>
      <c r="AL3" s="164" t="s">
        <v>1319</v>
      </c>
      <c r="AM3" s="164" t="s">
        <v>1242</v>
      </c>
      <c r="AN3" s="164" t="s">
        <v>1243</v>
      </c>
      <c r="AO3" s="164" t="s">
        <v>1320</v>
      </c>
      <c r="AP3" s="164" t="s">
        <v>1321</v>
      </c>
      <c r="AR3" s="322"/>
    </row>
    <row r="4" spans="1:44" s="5" customFormat="1" ht="42" customHeight="1">
      <c r="A4" s="214"/>
      <c r="B4" s="245" t="s">
        <v>579</v>
      </c>
      <c r="C4" s="445" t="s">
        <v>640</v>
      </c>
      <c r="D4" s="446"/>
      <c r="E4" s="447"/>
      <c r="F4" s="246" t="s">
        <v>1195</v>
      </c>
      <c r="G4" s="471">
        <v>41905</v>
      </c>
      <c r="H4" s="472"/>
      <c r="I4" s="463" t="s">
        <v>1133</v>
      </c>
      <c r="J4" s="448">
        <v>0</v>
      </c>
      <c r="K4" s="45" t="e">
        <f>IF(VALUE(J4)-SUMIF(C12:J12,"X",#REF!)&gt;0,"OK","N.OK")</f>
        <v>#REF!</v>
      </c>
      <c r="L4" s="70" t="s">
        <v>1201</v>
      </c>
      <c r="M4" s="48" t="s">
        <v>1198</v>
      </c>
      <c r="N4" s="49" t="s">
        <v>1199</v>
      </c>
      <c r="O4" s="207"/>
      <c r="P4" s="32" t="s">
        <v>1297</v>
      </c>
      <c r="Q4" s="66" t="s">
        <v>1298</v>
      </c>
      <c r="S4" s="32" t="s">
        <v>1290</v>
      </c>
      <c r="T4" s="55" t="s">
        <v>1309</v>
      </c>
      <c r="V4" s="23"/>
      <c r="W4" s="24"/>
      <c r="X4" s="24"/>
      <c r="Y4" s="24"/>
      <c r="Z4" s="24"/>
      <c r="AB4" s="171">
        <v>2</v>
      </c>
      <c r="AC4" s="171">
        <v>1</v>
      </c>
      <c r="AD4" s="358" t="s">
        <v>1365</v>
      </c>
      <c r="AE4" s="358" t="s">
        <v>1367</v>
      </c>
      <c r="AF4" s="169">
        <v>1800</v>
      </c>
      <c r="AG4" s="165">
        <f t="shared" si="0"/>
        <v>1800.9945945945947</v>
      </c>
      <c r="AH4" s="166">
        <f t="shared" ref="AH4:AH27" si="1">IF(AND(AF4&gt;$AO$4,AF4&lt;=$AP$4),$AN$4,IF(AND(AF4&gt;$AO$5,AF4&lt;=$AP$5),$AN$5,IF(AND(AF4&gt;$AO$6,AF4&lt;=$AP$6),$AN$6,IF(AND(AF4&gt;$AO$7,AF4&lt;=$AP$7),$AN$8,IF(AND(AF4&gt;$AO$8,AF4&lt;=$AP$8),$AN$8,0)))))</f>
        <v>134.08000000000001</v>
      </c>
      <c r="AI4" s="167">
        <f t="shared" ref="AI4:AI27" si="2">IF(AND(AF4&gt;$AO$4,AF4&lt;=$AP$4),$AM$4,IF(AND(AF4&gt;$AO$5,AF4&lt;=$AP$5),$AM$5,IF(AND(AF4&gt;$AO$6,AF4&lt;=$AP$6),$AM$6,IF(AND(AF4&gt;$AO$7,AF4&lt;=$AP$7),$AM$8,IF(AND(AF4&gt;$AO$8,AF4&lt;=$AP$8),$AM$8,0)))))</f>
        <v>7.4999999999999997E-2</v>
      </c>
      <c r="AJ4"/>
      <c r="AK4"/>
      <c r="AL4" s="123" t="s">
        <v>1244</v>
      </c>
      <c r="AM4" s="175">
        <v>0</v>
      </c>
      <c r="AN4" s="357">
        <v>0</v>
      </c>
      <c r="AO4" s="125">
        <v>1</v>
      </c>
      <c r="AP4" s="125">
        <v>1787.77</v>
      </c>
      <c r="AR4" s="322"/>
    </row>
    <row r="5" spans="1:44" s="5" customFormat="1" ht="33.75" customHeight="1">
      <c r="A5" s="214"/>
      <c r="B5" s="242" t="s">
        <v>593</v>
      </c>
      <c r="C5" s="449" t="s">
        <v>1355</v>
      </c>
      <c r="D5" s="450"/>
      <c r="E5" s="450"/>
      <c r="F5" s="450"/>
      <c r="G5" s="450"/>
      <c r="H5" s="451"/>
      <c r="I5" s="464"/>
      <c r="J5" s="448"/>
      <c r="K5" s="45"/>
      <c r="L5" s="70" t="s">
        <v>1202</v>
      </c>
      <c r="M5" s="49" t="s">
        <v>1203</v>
      </c>
      <c r="N5" s="49" t="s">
        <v>1204</v>
      </c>
      <c r="O5" s="207"/>
      <c r="P5" s="32" t="s">
        <v>1299</v>
      </c>
      <c r="Q5" s="66" t="s">
        <v>1300</v>
      </c>
      <c r="T5" s="56"/>
      <c r="AB5" s="170">
        <v>3</v>
      </c>
      <c r="AC5" s="170">
        <v>1</v>
      </c>
      <c r="AD5" s="358" t="s">
        <v>1322</v>
      </c>
      <c r="AE5" s="358" t="s">
        <v>1368</v>
      </c>
      <c r="AF5" s="169">
        <v>2900</v>
      </c>
      <c r="AG5" s="165">
        <f t="shared" si="0"/>
        <v>3017.6117647058827</v>
      </c>
      <c r="AH5" s="166">
        <f t="shared" si="1"/>
        <v>335.03</v>
      </c>
      <c r="AI5" s="167">
        <f t="shared" si="2"/>
        <v>0.15</v>
      </c>
      <c r="AJ5"/>
      <c r="AK5"/>
      <c r="AL5" s="123" t="s">
        <v>1246</v>
      </c>
      <c r="AM5" s="175">
        <v>7.4999999999999997E-2</v>
      </c>
      <c r="AN5" s="125">
        <v>134.08000000000001</v>
      </c>
      <c r="AO5" s="125">
        <v>1787.78</v>
      </c>
      <c r="AP5" s="125">
        <v>2679.29</v>
      </c>
      <c r="AR5" s="322"/>
    </row>
    <row r="6" spans="1:44" s="5" customFormat="1" ht="25.5" customHeight="1">
      <c r="A6" s="214"/>
      <c r="B6" s="466" t="s">
        <v>594</v>
      </c>
      <c r="C6" s="452" t="s">
        <v>1356</v>
      </c>
      <c r="D6" s="453"/>
      <c r="E6" s="453"/>
      <c r="F6" s="453"/>
      <c r="G6" s="453"/>
      <c r="H6" s="454"/>
      <c r="I6" s="464"/>
      <c r="J6" s="448"/>
      <c r="K6" s="45"/>
      <c r="L6" s="70" t="s">
        <v>1205</v>
      </c>
      <c r="M6" s="50" t="s">
        <v>1203</v>
      </c>
      <c r="N6" s="50" t="s">
        <v>1204</v>
      </c>
      <c r="O6" s="207"/>
      <c r="P6" s="32" t="s">
        <v>1301</v>
      </c>
      <c r="Q6" s="66" t="s">
        <v>1302</v>
      </c>
      <c r="T6" s="56"/>
      <c r="AB6" s="171">
        <v>4</v>
      </c>
      <c r="AC6" s="171">
        <v>3</v>
      </c>
      <c r="AD6" s="358" t="s">
        <v>1365</v>
      </c>
      <c r="AE6" s="358" t="s">
        <v>1369</v>
      </c>
      <c r="AF6" s="169">
        <v>1500</v>
      </c>
      <c r="AG6" s="165">
        <f t="shared" si="0"/>
        <v>1500</v>
      </c>
      <c r="AH6" s="166">
        <f t="shared" si="1"/>
        <v>0</v>
      </c>
      <c r="AI6" s="167">
        <f t="shared" si="2"/>
        <v>0</v>
      </c>
      <c r="AJ6"/>
      <c r="AK6"/>
      <c r="AL6" s="123" t="s">
        <v>1248</v>
      </c>
      <c r="AM6" s="175">
        <v>0.15</v>
      </c>
      <c r="AN6" s="357">
        <v>335.03</v>
      </c>
      <c r="AO6" s="357">
        <v>2679.3</v>
      </c>
      <c r="AP6" s="357">
        <v>3572.43</v>
      </c>
      <c r="AR6" s="322"/>
    </row>
    <row r="7" spans="1:44" s="5" customFormat="1" ht="25.5" customHeight="1">
      <c r="A7" s="214"/>
      <c r="B7" s="467"/>
      <c r="C7" s="455"/>
      <c r="D7" s="456"/>
      <c r="E7" s="456"/>
      <c r="F7" s="456"/>
      <c r="G7" s="456"/>
      <c r="H7" s="457"/>
      <c r="I7" s="465"/>
      <c r="J7" s="448"/>
      <c r="K7" s="45"/>
      <c r="L7" s="70" t="s">
        <v>1206</v>
      </c>
      <c r="M7" s="51" t="s">
        <v>1198</v>
      </c>
      <c r="N7" s="49" t="s">
        <v>1199</v>
      </c>
      <c r="O7" s="207"/>
      <c r="P7" s="32" t="s">
        <v>1303</v>
      </c>
      <c r="Q7" s="67" t="s">
        <v>1304</v>
      </c>
      <c r="T7" s="56"/>
      <c r="AB7" s="170">
        <v>5</v>
      </c>
      <c r="AC7" s="170">
        <v>3</v>
      </c>
      <c r="AD7" s="358" t="s">
        <v>1322</v>
      </c>
      <c r="AE7" s="358" t="s">
        <v>1370</v>
      </c>
      <c r="AF7" s="169">
        <v>2700</v>
      </c>
      <c r="AG7" s="165">
        <f t="shared" si="0"/>
        <v>2782.3176470588237</v>
      </c>
      <c r="AH7" s="166">
        <f t="shared" si="1"/>
        <v>335.03</v>
      </c>
      <c r="AI7" s="167">
        <f t="shared" si="2"/>
        <v>0.15</v>
      </c>
      <c r="AJ7"/>
      <c r="AK7"/>
      <c r="AL7" s="123" t="s">
        <v>1249</v>
      </c>
      <c r="AM7" s="175">
        <v>0.22500000000000001</v>
      </c>
      <c r="AN7" s="357">
        <v>602.96</v>
      </c>
      <c r="AO7" s="357">
        <v>3572.44</v>
      </c>
      <c r="AP7" s="357">
        <v>4463.8100000000004</v>
      </c>
      <c r="AR7" s="322"/>
    </row>
    <row r="8" spans="1:44" s="5" customFormat="1" ht="25.5" customHeight="1">
      <c r="A8" s="214"/>
      <c r="B8" s="6" t="s">
        <v>595</v>
      </c>
      <c r="C8" s="425" t="s">
        <v>674</v>
      </c>
      <c r="D8" s="425"/>
      <c r="E8" s="425"/>
      <c r="F8" s="425"/>
      <c r="G8" s="425"/>
      <c r="H8" s="425"/>
      <c r="I8" s="425"/>
      <c r="J8" s="426"/>
      <c r="K8" s="45"/>
      <c r="L8" s="70" t="s">
        <v>1207</v>
      </c>
      <c r="M8" s="52" t="s">
        <v>1208</v>
      </c>
      <c r="N8" s="49" t="s">
        <v>1209</v>
      </c>
      <c r="O8" s="207"/>
      <c r="P8" s="32" t="s">
        <v>1305</v>
      </c>
      <c r="Q8" s="67" t="s">
        <v>1306</v>
      </c>
      <c r="T8" s="56"/>
      <c r="AB8" s="171">
        <v>6</v>
      </c>
      <c r="AC8" s="171"/>
      <c r="AD8" s="168"/>
      <c r="AE8" s="168"/>
      <c r="AF8" s="169"/>
      <c r="AG8" s="165">
        <f t="shared" si="0"/>
        <v>0</v>
      </c>
      <c r="AH8" s="166">
        <f t="shared" si="1"/>
        <v>0</v>
      </c>
      <c r="AI8" s="167">
        <f t="shared" si="2"/>
        <v>0</v>
      </c>
      <c r="AJ8"/>
      <c r="AK8"/>
      <c r="AL8" s="123" t="s">
        <v>1251</v>
      </c>
      <c r="AM8" s="175">
        <v>0.27500000000000002</v>
      </c>
      <c r="AN8" s="357">
        <v>826.15</v>
      </c>
      <c r="AO8" s="357">
        <v>4463.82</v>
      </c>
      <c r="AP8" s="357">
        <v>1000000</v>
      </c>
      <c r="AR8" s="322"/>
    </row>
    <row r="9" spans="1:44" s="5" customFormat="1" ht="25.5" customHeight="1" thickBot="1">
      <c r="A9" s="214"/>
      <c r="B9" s="6" t="s">
        <v>596</v>
      </c>
      <c r="C9" s="425" t="s">
        <v>412</v>
      </c>
      <c r="D9" s="425"/>
      <c r="E9" s="425"/>
      <c r="F9" s="425"/>
      <c r="G9" s="425"/>
      <c r="H9" s="425"/>
      <c r="I9" s="425"/>
      <c r="J9" s="426"/>
      <c r="K9" s="45"/>
      <c r="L9" s="70" t="s">
        <v>1210</v>
      </c>
      <c r="M9" s="52" t="s">
        <v>1204</v>
      </c>
      <c r="N9" s="49" t="s">
        <v>1208</v>
      </c>
      <c r="O9" s="208"/>
      <c r="P9" s="14"/>
      <c r="Q9" s="54"/>
      <c r="T9" s="56"/>
      <c r="AB9" s="170">
        <v>7</v>
      </c>
      <c r="AC9" s="170"/>
      <c r="AD9" s="168"/>
      <c r="AE9" s="168"/>
      <c r="AF9" s="169"/>
      <c r="AG9" s="165">
        <f t="shared" si="0"/>
        <v>0</v>
      </c>
      <c r="AH9" s="166">
        <f t="shared" si="1"/>
        <v>0</v>
      </c>
      <c r="AI9" s="167">
        <f t="shared" si="2"/>
        <v>0</v>
      </c>
      <c r="AJ9"/>
      <c r="AK9"/>
      <c r="AL9"/>
      <c r="AM9"/>
      <c r="AN9"/>
      <c r="AO9"/>
      <c r="AP9"/>
      <c r="AR9" s="322"/>
    </row>
    <row r="10" spans="1:44" s="5" customFormat="1" ht="25.5" customHeight="1">
      <c r="A10" s="214"/>
      <c r="B10" s="242" t="s">
        <v>1130</v>
      </c>
      <c r="C10" s="427" t="s">
        <v>1357</v>
      </c>
      <c r="D10" s="428"/>
      <c r="E10" s="428"/>
      <c r="F10" s="428"/>
      <c r="G10" s="428"/>
      <c r="H10" s="428"/>
      <c r="I10" s="428"/>
      <c r="J10" s="429"/>
      <c r="K10" s="45"/>
      <c r="L10" s="70" t="s">
        <v>1211</v>
      </c>
      <c r="M10" s="52" t="s">
        <v>1212</v>
      </c>
      <c r="N10" s="49" t="s">
        <v>1213</v>
      </c>
      <c r="O10" s="208"/>
      <c r="P10" s="14"/>
      <c r="AB10" s="171">
        <v>8</v>
      </c>
      <c r="AC10" s="171"/>
      <c r="AD10" s="168"/>
      <c r="AE10" s="168"/>
      <c r="AF10" s="169"/>
      <c r="AG10" s="165">
        <f t="shared" si="0"/>
        <v>0</v>
      </c>
      <c r="AH10" s="166">
        <f t="shared" si="1"/>
        <v>0</v>
      </c>
      <c r="AI10" s="167">
        <f t="shared" si="2"/>
        <v>0</v>
      </c>
      <c r="AJ10"/>
      <c r="AK10"/>
      <c r="AL10"/>
      <c r="AM10" s="473">
        <v>1</v>
      </c>
      <c r="AN10" s="300" t="s">
        <v>1124</v>
      </c>
      <c r="AO10" s="168" t="s">
        <v>1365</v>
      </c>
      <c r="AP10" s="169">
        <f>SUMIF(AD$3:AD$27,AO10,AG$3:AG$27)</f>
        <v>6671.5475357710657</v>
      </c>
      <c r="AQ10" s="301"/>
      <c r="AR10" s="322"/>
    </row>
    <row r="11" spans="1:44" s="5" customFormat="1" ht="25.5" customHeight="1" thickBot="1">
      <c r="A11" s="214"/>
      <c r="B11" s="388" t="s">
        <v>597</v>
      </c>
      <c r="C11" s="389"/>
      <c r="D11" s="389"/>
      <c r="E11" s="389"/>
      <c r="F11" s="389"/>
      <c r="G11" s="389"/>
      <c r="H11" s="389"/>
      <c r="I11" s="389"/>
      <c r="J11" s="390"/>
      <c r="K11" s="45"/>
      <c r="L11" s="70" t="s">
        <v>1214</v>
      </c>
      <c r="M11" s="51" t="s">
        <v>1215</v>
      </c>
      <c r="N11" s="51" t="s">
        <v>1216</v>
      </c>
      <c r="O11" s="208"/>
      <c r="P11" s="14"/>
      <c r="AB11" s="170">
        <v>9</v>
      </c>
      <c r="AC11" s="170"/>
      <c r="AD11" s="168"/>
      <c r="AE11" s="168"/>
      <c r="AF11" s="169"/>
      <c r="AG11" s="165">
        <f t="shared" si="0"/>
        <v>0</v>
      </c>
      <c r="AH11" s="166">
        <f t="shared" si="1"/>
        <v>0</v>
      </c>
      <c r="AI11" s="167">
        <f t="shared" si="2"/>
        <v>0</v>
      </c>
      <c r="AJ11"/>
      <c r="AK11"/>
      <c r="AL11" s="162"/>
      <c r="AM11" s="474"/>
      <c r="AN11" s="300" t="s">
        <v>624</v>
      </c>
      <c r="AO11" s="168" t="s">
        <v>1322</v>
      </c>
      <c r="AP11" s="169">
        <f>SUMIF(AD$3:AD$27,AO11,AG$3:AG$27)</f>
        <v>5799.9294117647059</v>
      </c>
      <c r="AQ11" s="301"/>
      <c r="AR11" s="322"/>
    </row>
    <row r="12" spans="1:44" s="7" customFormat="1" ht="25.5" customHeight="1" thickBot="1">
      <c r="A12" s="214"/>
      <c r="B12" s="242" t="s">
        <v>1169</v>
      </c>
      <c r="C12" s="201"/>
      <c r="D12" s="201" t="s">
        <v>1135</v>
      </c>
      <c r="E12" s="201"/>
      <c r="F12" s="202"/>
      <c r="G12" s="202"/>
      <c r="H12" s="202"/>
      <c r="I12" s="202"/>
      <c r="J12" s="202"/>
      <c r="K12" s="45" t="str">
        <f>IF(COUNTIF(C12:J12,"X")&gt;0,"OK","N.OK")</f>
        <v>OK</v>
      </c>
      <c r="L12" s="70" t="s">
        <v>1217</v>
      </c>
      <c r="M12" s="51" t="s">
        <v>1208</v>
      </c>
      <c r="N12" s="51" t="s">
        <v>1209</v>
      </c>
      <c r="O12" s="208"/>
      <c r="P12" s="14"/>
      <c r="AB12" s="171">
        <v>10</v>
      </c>
      <c r="AC12" s="171"/>
      <c r="AD12" s="168"/>
      <c r="AE12" s="168"/>
      <c r="AF12" s="169"/>
      <c r="AG12" s="165">
        <f t="shared" si="0"/>
        <v>0</v>
      </c>
      <c r="AH12" s="166">
        <f t="shared" si="1"/>
        <v>0</v>
      </c>
      <c r="AI12" s="167">
        <f t="shared" si="2"/>
        <v>0</v>
      </c>
      <c r="AJ12"/>
      <c r="AK12"/>
      <c r="AL12" s="162"/>
      <c r="AM12"/>
      <c r="AN12"/>
      <c r="AO12"/>
      <c r="AP12"/>
      <c r="AR12" s="323"/>
    </row>
    <row r="13" spans="1:44" s="7" customFormat="1" ht="31.5" customHeight="1">
      <c r="A13" s="214"/>
      <c r="B13" s="68" t="s">
        <v>1132</v>
      </c>
      <c r="C13" s="198" t="s">
        <v>1206</v>
      </c>
      <c r="D13" s="198" t="s">
        <v>1223</v>
      </c>
      <c r="E13" s="198" t="s">
        <v>1202</v>
      </c>
      <c r="F13" s="197" t="s">
        <v>1206</v>
      </c>
      <c r="G13" s="197" t="s">
        <v>1200</v>
      </c>
      <c r="H13" s="197" t="s">
        <v>1206</v>
      </c>
      <c r="I13" s="197" t="s">
        <v>1223</v>
      </c>
      <c r="J13" s="197" t="s">
        <v>1202</v>
      </c>
      <c r="K13" s="45"/>
      <c r="L13" s="70" t="s">
        <v>1325</v>
      </c>
      <c r="M13" s="51" t="s">
        <v>1212</v>
      </c>
      <c r="N13" s="51" t="s">
        <v>1213</v>
      </c>
      <c r="O13" s="208"/>
      <c r="P13" s="14"/>
      <c r="AB13" s="170">
        <v>11</v>
      </c>
      <c r="AC13" s="170"/>
      <c r="AD13" s="168"/>
      <c r="AE13" s="168"/>
      <c r="AF13" s="169"/>
      <c r="AG13" s="165">
        <f t="shared" si="0"/>
        <v>0</v>
      </c>
      <c r="AH13" s="166">
        <f t="shared" si="1"/>
        <v>0</v>
      </c>
      <c r="AI13" s="167">
        <f t="shared" si="2"/>
        <v>0</v>
      </c>
      <c r="AJ13"/>
      <c r="AK13"/>
      <c r="AM13" s="473">
        <v>2</v>
      </c>
      <c r="AN13" s="300" t="s">
        <v>1124</v>
      </c>
      <c r="AO13" s="168" t="s">
        <v>1365</v>
      </c>
      <c r="AP13" s="169"/>
      <c r="AR13" s="323"/>
    </row>
    <row r="14" spans="1:44" s="7" customFormat="1" ht="25.5" customHeight="1" thickBot="1">
      <c r="A14" s="214"/>
      <c r="B14" s="242" t="s">
        <v>1277</v>
      </c>
      <c r="C14" s="191">
        <v>10</v>
      </c>
      <c r="D14" s="191">
        <v>2</v>
      </c>
      <c r="E14" s="191">
        <v>3</v>
      </c>
      <c r="F14" s="199">
        <v>12</v>
      </c>
      <c r="G14" s="199">
        <v>12</v>
      </c>
      <c r="H14" s="199">
        <v>12</v>
      </c>
      <c r="I14" s="199">
        <v>2</v>
      </c>
      <c r="J14" s="199">
        <v>3</v>
      </c>
      <c r="K14" s="45"/>
      <c r="L14" s="70" t="s">
        <v>1218</v>
      </c>
      <c r="M14" s="51" t="s">
        <v>1203</v>
      </c>
      <c r="N14" s="51" t="s">
        <v>1204</v>
      </c>
      <c r="O14" s="208"/>
      <c r="P14" s="14"/>
      <c r="AB14" s="171">
        <v>12</v>
      </c>
      <c r="AC14" s="171"/>
      <c r="AD14" s="168"/>
      <c r="AE14" s="168"/>
      <c r="AF14" s="169"/>
      <c r="AG14" s="165">
        <f t="shared" si="0"/>
        <v>0</v>
      </c>
      <c r="AH14" s="166">
        <f t="shared" si="1"/>
        <v>0</v>
      </c>
      <c r="AI14" s="167">
        <f t="shared" si="2"/>
        <v>0</v>
      </c>
      <c r="AJ14"/>
      <c r="AK14"/>
      <c r="AL14"/>
      <c r="AM14" s="474"/>
      <c r="AN14" s="300" t="s">
        <v>624</v>
      </c>
      <c r="AO14" s="168" t="s">
        <v>1322</v>
      </c>
      <c r="AP14" s="169"/>
      <c r="AR14" s="323"/>
    </row>
    <row r="15" spans="1:44" s="5" customFormat="1" ht="25.5" customHeight="1" thickBot="1">
      <c r="A15" s="214"/>
      <c r="B15" s="69" t="s">
        <v>599</v>
      </c>
      <c r="C15" s="196" t="s">
        <v>1290</v>
      </c>
      <c r="D15" s="196" t="s">
        <v>1290</v>
      </c>
      <c r="E15" s="196" t="s">
        <v>1307</v>
      </c>
      <c r="F15" s="196" t="s">
        <v>1290</v>
      </c>
      <c r="G15" s="195" t="s">
        <v>1290</v>
      </c>
      <c r="H15" s="195" t="s">
        <v>1290</v>
      </c>
      <c r="I15" s="195" t="s">
        <v>1290</v>
      </c>
      <c r="J15" s="195" t="s">
        <v>1307</v>
      </c>
      <c r="K15" s="45"/>
      <c r="L15" s="70" t="s">
        <v>1219</v>
      </c>
      <c r="M15" s="48" t="s">
        <v>1198</v>
      </c>
      <c r="N15" s="49" t="s">
        <v>1208</v>
      </c>
      <c r="O15" s="208"/>
      <c r="P15" s="14"/>
      <c r="AB15" s="170">
        <v>13</v>
      </c>
      <c r="AC15" s="170"/>
      <c r="AD15" s="168"/>
      <c r="AE15" s="168"/>
      <c r="AF15" s="169"/>
      <c r="AG15" s="165">
        <f t="shared" si="0"/>
        <v>0</v>
      </c>
      <c r="AH15" s="166">
        <f t="shared" si="1"/>
        <v>0</v>
      </c>
      <c r="AI15" s="167">
        <f t="shared" si="2"/>
        <v>0</v>
      </c>
      <c r="AJ15"/>
      <c r="AK15"/>
      <c r="AL15"/>
      <c r="AM15"/>
      <c r="AN15"/>
      <c r="AO15"/>
      <c r="AP15"/>
      <c r="AR15" s="322"/>
    </row>
    <row r="16" spans="1:44" s="5" customFormat="1" ht="25.5" customHeight="1">
      <c r="A16" s="214"/>
      <c r="B16" s="243" t="s">
        <v>588</v>
      </c>
      <c r="C16" s="244">
        <f>IF(C$15&lt;&gt;"",(VLOOKUP(C$15,$S$3:$T$4,2,FALSE))*100%,"")</f>
        <v>9.2499999999999999E-2</v>
      </c>
      <c r="D16" s="244">
        <f>IF(D$15&lt;&gt;"",(VLOOKUP(D$15,$S$3:$T$4,2,FALSE))*100%,"")</f>
        <v>9.2499999999999999E-2</v>
      </c>
      <c r="E16" s="244">
        <f t="shared" ref="E16:J16" si="3">IF(E$15&lt;&gt;"",(VLOOKUP(E$15,$S$3:$T$4,2,FALSE))*100%,"")</f>
        <v>0.14249999999999999</v>
      </c>
      <c r="F16" s="244">
        <f t="shared" si="3"/>
        <v>9.2499999999999999E-2</v>
      </c>
      <c r="G16" s="244">
        <f t="shared" si="3"/>
        <v>9.2499999999999999E-2</v>
      </c>
      <c r="H16" s="244">
        <f t="shared" si="3"/>
        <v>9.2499999999999999E-2</v>
      </c>
      <c r="I16" s="244">
        <f t="shared" si="3"/>
        <v>9.2499999999999999E-2</v>
      </c>
      <c r="J16" s="244">
        <f t="shared" si="3"/>
        <v>0.14249999999999999</v>
      </c>
      <c r="K16" s="45"/>
      <c r="L16" s="70" t="s">
        <v>1220</v>
      </c>
      <c r="M16" s="50" t="s">
        <v>1209</v>
      </c>
      <c r="N16" s="50" t="s">
        <v>1221</v>
      </c>
      <c r="O16" s="208"/>
      <c r="P16" s="14"/>
      <c r="AB16" s="171">
        <v>14</v>
      </c>
      <c r="AC16" s="171"/>
      <c r="AD16" s="168"/>
      <c r="AE16" s="168"/>
      <c r="AF16" s="169"/>
      <c r="AG16" s="165">
        <f t="shared" si="0"/>
        <v>0</v>
      </c>
      <c r="AH16" s="166">
        <f t="shared" si="1"/>
        <v>0</v>
      </c>
      <c r="AI16" s="167">
        <f t="shared" si="2"/>
        <v>0</v>
      </c>
      <c r="AJ16"/>
      <c r="AK16"/>
      <c r="AL16"/>
      <c r="AM16" s="473">
        <v>3</v>
      </c>
      <c r="AN16" s="300" t="s">
        <v>1124</v>
      </c>
      <c r="AO16" s="168" t="s">
        <v>1365</v>
      </c>
      <c r="AP16" s="169"/>
      <c r="AR16" s="322"/>
    </row>
    <row r="17" spans="1:197" s="5" customFormat="1" ht="25.5" customHeight="1" thickBot="1">
      <c r="A17" s="214"/>
      <c r="B17" s="6" t="s">
        <v>601</v>
      </c>
      <c r="C17" s="192" t="s">
        <v>515</v>
      </c>
      <c r="D17" s="192" t="s">
        <v>1127</v>
      </c>
      <c r="E17" s="192" t="s">
        <v>514</v>
      </c>
      <c r="F17" s="192" t="s">
        <v>513</v>
      </c>
      <c r="G17" s="192" t="s">
        <v>1127</v>
      </c>
      <c r="H17" s="192" t="s">
        <v>514</v>
      </c>
      <c r="I17" s="192" t="s">
        <v>515</v>
      </c>
      <c r="J17" s="192" t="s">
        <v>513</v>
      </c>
      <c r="K17" s="45"/>
      <c r="L17" s="70" t="s">
        <v>1222</v>
      </c>
      <c r="M17" s="53" t="s">
        <v>1212</v>
      </c>
      <c r="N17" s="51" t="s">
        <v>1213</v>
      </c>
      <c r="O17" s="208"/>
      <c r="P17" s="14"/>
      <c r="AB17" s="170">
        <v>15</v>
      </c>
      <c r="AC17" s="170"/>
      <c r="AD17" s="168"/>
      <c r="AE17" s="168"/>
      <c r="AF17" s="169"/>
      <c r="AG17" s="165">
        <f t="shared" si="0"/>
        <v>0</v>
      </c>
      <c r="AH17" s="166">
        <f t="shared" si="1"/>
        <v>0</v>
      </c>
      <c r="AI17" s="167">
        <f t="shared" si="2"/>
        <v>0</v>
      </c>
      <c r="AJ17"/>
      <c r="AK17"/>
      <c r="AL17"/>
      <c r="AM17" s="474"/>
      <c r="AN17" s="300" t="s">
        <v>624</v>
      </c>
      <c r="AO17" s="168" t="s">
        <v>1322</v>
      </c>
      <c r="AP17" s="169"/>
      <c r="AR17" s="322"/>
    </row>
    <row r="18" spans="1:197" s="5" customFormat="1" ht="25.5" customHeight="1" thickBot="1">
      <c r="A18" s="214"/>
      <c r="B18" s="242" t="s">
        <v>603</v>
      </c>
      <c r="C18" s="193">
        <v>10000</v>
      </c>
      <c r="D18" s="193">
        <v>15000</v>
      </c>
      <c r="E18" s="193">
        <v>38000</v>
      </c>
      <c r="F18" s="193">
        <v>22000</v>
      </c>
      <c r="G18" s="193">
        <v>35000</v>
      </c>
      <c r="H18" s="193">
        <v>38000</v>
      </c>
      <c r="I18" s="193">
        <v>10000</v>
      </c>
      <c r="J18" s="193">
        <v>25000</v>
      </c>
      <c r="K18" s="45"/>
      <c r="L18" s="70" t="s">
        <v>1223</v>
      </c>
      <c r="M18" s="50" t="s">
        <v>1212</v>
      </c>
      <c r="N18" s="50" t="s">
        <v>1213</v>
      </c>
      <c r="O18" s="208"/>
      <c r="P18" s="14"/>
      <c r="AB18" s="171">
        <v>16</v>
      </c>
      <c r="AC18" s="171"/>
      <c r="AD18" s="168"/>
      <c r="AE18" s="168"/>
      <c r="AF18" s="169"/>
      <c r="AG18" s="165">
        <f t="shared" si="0"/>
        <v>0</v>
      </c>
      <c r="AH18" s="166">
        <f t="shared" si="1"/>
        <v>0</v>
      </c>
      <c r="AI18" s="167">
        <f t="shared" si="2"/>
        <v>0</v>
      </c>
      <c r="AJ18"/>
      <c r="AK18"/>
      <c r="AL18"/>
      <c r="AM18"/>
      <c r="AN18"/>
      <c r="AO18"/>
      <c r="AP18"/>
      <c r="AR18" s="322"/>
    </row>
    <row r="19" spans="1:197" s="27" customFormat="1" ht="30.75" customHeight="1">
      <c r="A19" s="214"/>
      <c r="B19" s="242" t="s">
        <v>604</v>
      </c>
      <c r="C19" s="194" t="s">
        <v>1358</v>
      </c>
      <c r="D19" s="194" t="s">
        <v>1358</v>
      </c>
      <c r="E19" s="194" t="s">
        <v>1358</v>
      </c>
      <c r="F19" s="194" t="s">
        <v>1326</v>
      </c>
      <c r="G19" s="194" t="s">
        <v>1361</v>
      </c>
      <c r="H19" s="194" t="s">
        <v>1358</v>
      </c>
      <c r="I19" s="194" t="s">
        <v>1358</v>
      </c>
      <c r="J19" s="194" t="s">
        <v>1326</v>
      </c>
      <c r="K19" s="47"/>
      <c r="L19" s="71" t="s">
        <v>1224</v>
      </c>
      <c r="M19" s="50" t="s">
        <v>1225</v>
      </c>
      <c r="N19" s="50" t="s">
        <v>1212</v>
      </c>
      <c r="O19" s="209"/>
      <c r="P19" s="28"/>
      <c r="AB19" s="170">
        <v>17</v>
      </c>
      <c r="AC19" s="170"/>
      <c r="AD19" s="168"/>
      <c r="AE19" s="168"/>
      <c r="AF19" s="169"/>
      <c r="AG19" s="165">
        <f t="shared" si="0"/>
        <v>0</v>
      </c>
      <c r="AH19" s="166">
        <f t="shared" si="1"/>
        <v>0</v>
      </c>
      <c r="AI19" s="167">
        <f t="shared" si="2"/>
        <v>0</v>
      </c>
      <c r="AJ19"/>
      <c r="AK19"/>
      <c r="AL19"/>
      <c r="AM19" s="473">
        <v>4</v>
      </c>
      <c r="AN19" s="300" t="s">
        <v>1124</v>
      </c>
      <c r="AO19" s="168" t="s">
        <v>1365</v>
      </c>
      <c r="AP19" s="169"/>
      <c r="AR19" s="324"/>
    </row>
    <row r="20" spans="1:197" s="5" customFormat="1" ht="25.5" customHeight="1" thickBot="1">
      <c r="A20" s="214"/>
      <c r="B20" s="6" t="s">
        <v>605</v>
      </c>
      <c r="C20" s="188" t="s">
        <v>1291</v>
      </c>
      <c r="D20" s="188" t="s">
        <v>1297</v>
      </c>
      <c r="E20" s="188" t="s">
        <v>1301</v>
      </c>
      <c r="F20" s="188" t="s">
        <v>1291</v>
      </c>
      <c r="G20" s="188" t="s">
        <v>1291</v>
      </c>
      <c r="H20" s="188" t="s">
        <v>1301</v>
      </c>
      <c r="I20" s="188" t="s">
        <v>1291</v>
      </c>
      <c r="J20" s="188" t="s">
        <v>1291</v>
      </c>
      <c r="K20" s="45"/>
      <c r="L20" s="71" t="s">
        <v>1226</v>
      </c>
      <c r="M20" s="53" t="s">
        <v>1212</v>
      </c>
      <c r="N20" s="53" t="s">
        <v>1213</v>
      </c>
      <c r="O20" s="208"/>
      <c r="P20" s="14"/>
      <c r="AB20" s="171">
        <v>18</v>
      </c>
      <c r="AC20" s="171"/>
      <c r="AD20" s="168"/>
      <c r="AE20" s="168"/>
      <c r="AF20" s="169"/>
      <c r="AG20" s="165">
        <f t="shared" si="0"/>
        <v>0</v>
      </c>
      <c r="AH20" s="166">
        <f t="shared" si="1"/>
        <v>0</v>
      </c>
      <c r="AI20" s="167">
        <f t="shared" si="2"/>
        <v>0</v>
      </c>
      <c r="AJ20"/>
      <c r="AK20"/>
      <c r="AL20"/>
      <c r="AM20" s="474"/>
      <c r="AN20" s="300" t="s">
        <v>624</v>
      </c>
      <c r="AO20" s="168" t="s">
        <v>1322</v>
      </c>
      <c r="AP20" s="169"/>
      <c r="AR20" s="322"/>
    </row>
    <row r="21" spans="1:197" s="5" customFormat="1" ht="25.5" customHeight="1" thickBot="1">
      <c r="A21" s="214"/>
      <c r="B21" s="242" t="s">
        <v>606</v>
      </c>
      <c r="C21" s="189">
        <v>0.15</v>
      </c>
      <c r="D21" s="189" t="s">
        <v>1362</v>
      </c>
      <c r="E21" s="189">
        <v>0.12</v>
      </c>
      <c r="F21" s="189">
        <v>0.12</v>
      </c>
      <c r="G21" s="189">
        <v>0.12</v>
      </c>
      <c r="H21" s="189">
        <v>0.12</v>
      </c>
      <c r="I21" s="189">
        <v>0.2</v>
      </c>
      <c r="J21" s="189">
        <v>0.12</v>
      </c>
      <c r="K21" s="45"/>
      <c r="L21" s="70" t="s">
        <v>1227</v>
      </c>
      <c r="M21" s="53" t="s">
        <v>1225</v>
      </c>
      <c r="N21" s="53" t="s">
        <v>1212</v>
      </c>
      <c r="O21" s="208"/>
      <c r="P21" s="14"/>
      <c r="AB21" s="170">
        <v>19</v>
      </c>
      <c r="AC21" s="170"/>
      <c r="AD21" s="168"/>
      <c r="AE21" s="168"/>
      <c r="AF21" s="169"/>
      <c r="AG21" s="165">
        <f t="shared" si="0"/>
        <v>0</v>
      </c>
      <c r="AH21" s="166">
        <f t="shared" si="1"/>
        <v>0</v>
      </c>
      <c r="AI21" s="167">
        <f t="shared" si="2"/>
        <v>0</v>
      </c>
      <c r="AJ21"/>
      <c r="AK21"/>
      <c r="AL21"/>
      <c r="AM21"/>
      <c r="AN21"/>
      <c r="AO21"/>
      <c r="AP21"/>
      <c r="AR21" s="322"/>
    </row>
    <row r="22" spans="1:197" s="5" customFormat="1" ht="25.5" customHeight="1">
      <c r="A22" s="214"/>
      <c r="B22" s="242" t="s">
        <v>607</v>
      </c>
      <c r="C22" s="190"/>
      <c r="D22" s="190"/>
      <c r="E22" s="190"/>
      <c r="F22" s="190"/>
      <c r="G22" s="190"/>
      <c r="H22" s="190"/>
      <c r="I22" s="190"/>
      <c r="J22" s="190"/>
      <c r="K22" s="45"/>
      <c r="L22" s="70"/>
      <c r="M22" s="53"/>
      <c r="N22" s="53"/>
      <c r="O22" s="208"/>
      <c r="P22" s="14"/>
      <c r="AB22" s="171">
        <v>20</v>
      </c>
      <c r="AC22" s="171"/>
      <c r="AD22" s="168"/>
      <c r="AE22" s="168"/>
      <c r="AF22" s="169"/>
      <c r="AG22" s="165">
        <f t="shared" si="0"/>
        <v>0</v>
      </c>
      <c r="AH22" s="166">
        <f t="shared" si="1"/>
        <v>0</v>
      </c>
      <c r="AI22" s="167">
        <f t="shared" si="2"/>
        <v>0</v>
      </c>
      <c r="AJ22"/>
      <c r="AK22"/>
      <c r="AL22"/>
      <c r="AM22" s="473">
        <v>5</v>
      </c>
      <c r="AN22" s="300" t="s">
        <v>1124</v>
      </c>
      <c r="AO22" s="168" t="s">
        <v>1365</v>
      </c>
      <c r="AP22" s="169"/>
      <c r="AR22" s="322"/>
    </row>
    <row r="23" spans="1:197" s="5" customFormat="1" ht="25.5" customHeight="1" thickBot="1">
      <c r="A23" s="214"/>
      <c r="B23" s="242" t="s">
        <v>608</v>
      </c>
      <c r="C23" s="191"/>
      <c r="D23" s="191"/>
      <c r="E23" s="191"/>
      <c r="F23" s="191"/>
      <c r="G23" s="191"/>
      <c r="H23" s="191"/>
      <c r="I23" s="191"/>
      <c r="J23" s="191"/>
      <c r="K23" s="45"/>
      <c r="L23" s="70"/>
      <c r="M23" s="53"/>
      <c r="N23" s="53"/>
      <c r="O23" s="208"/>
      <c r="P23" s="14"/>
      <c r="AB23" s="170">
        <v>21</v>
      </c>
      <c r="AC23" s="170"/>
      <c r="AD23" s="168"/>
      <c r="AE23" s="168"/>
      <c r="AF23" s="169"/>
      <c r="AG23" s="165">
        <f t="shared" si="0"/>
        <v>0</v>
      </c>
      <c r="AH23" s="166">
        <f t="shared" si="1"/>
        <v>0</v>
      </c>
      <c r="AI23" s="167">
        <f t="shared" si="2"/>
        <v>0</v>
      </c>
      <c r="AJ23"/>
      <c r="AK23"/>
      <c r="AL23"/>
      <c r="AM23" s="474"/>
      <c r="AN23" s="300" t="s">
        <v>624</v>
      </c>
      <c r="AO23" s="168" t="s">
        <v>1322</v>
      </c>
      <c r="AP23" s="169"/>
      <c r="AR23" s="322"/>
    </row>
    <row r="24" spans="1:197" s="8" customFormat="1" ht="25.5" customHeight="1" thickBot="1">
      <c r="A24" s="214"/>
      <c r="B24" s="388" t="s">
        <v>609</v>
      </c>
      <c r="C24" s="389"/>
      <c r="D24" s="389"/>
      <c r="E24" s="389"/>
      <c r="F24" s="389"/>
      <c r="G24" s="389"/>
      <c r="H24" s="389"/>
      <c r="I24" s="389"/>
      <c r="J24" s="390"/>
      <c r="K24" s="45"/>
      <c r="L24" s="70"/>
      <c r="M24" s="53"/>
      <c r="N24" s="53"/>
      <c r="O24" s="208"/>
      <c r="P24" s="14"/>
      <c r="AB24" s="171">
        <v>22</v>
      </c>
      <c r="AC24" s="171"/>
      <c r="AD24" s="168"/>
      <c r="AE24" s="168"/>
      <c r="AF24" s="169"/>
      <c r="AG24" s="165">
        <f t="shared" si="0"/>
        <v>0</v>
      </c>
      <c r="AH24" s="166">
        <f t="shared" si="1"/>
        <v>0</v>
      </c>
      <c r="AI24" s="167">
        <f t="shared" si="2"/>
        <v>0</v>
      </c>
      <c r="AJ24"/>
      <c r="AK24"/>
      <c r="AL24"/>
      <c r="AR24" s="322"/>
    </row>
    <row r="25" spans="1:197" s="8" customFormat="1" ht="25.5" customHeight="1">
      <c r="A25" s="214"/>
      <c r="B25" s="242" t="s">
        <v>1165</v>
      </c>
      <c r="C25" s="186" t="s">
        <v>518</v>
      </c>
      <c r="D25" s="186" t="s">
        <v>546</v>
      </c>
      <c r="E25" s="186"/>
      <c r="F25" s="186"/>
      <c r="G25" s="186"/>
      <c r="H25" s="186"/>
      <c r="I25" s="186"/>
      <c r="J25" s="186"/>
      <c r="K25" s="45"/>
      <c r="L25" s="70"/>
      <c r="M25" s="53"/>
      <c r="N25" s="53"/>
      <c r="O25" s="208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170">
        <v>23</v>
      </c>
      <c r="AC25" s="170"/>
      <c r="AD25" s="168"/>
      <c r="AE25" s="168"/>
      <c r="AF25" s="169"/>
      <c r="AG25" s="165">
        <f t="shared" si="0"/>
        <v>0</v>
      </c>
      <c r="AH25" s="166">
        <f t="shared" si="1"/>
        <v>0</v>
      </c>
      <c r="AI25" s="167">
        <f t="shared" si="2"/>
        <v>0</v>
      </c>
      <c r="AJ25"/>
      <c r="AK25"/>
      <c r="AL25"/>
      <c r="AM25" s="473">
        <v>6</v>
      </c>
      <c r="AN25" s="300" t="s">
        <v>1124</v>
      </c>
      <c r="AO25" s="168" t="s">
        <v>1365</v>
      </c>
      <c r="AP25" s="169"/>
      <c r="AQ25" s="20"/>
      <c r="AR25" s="325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</row>
    <row r="26" spans="1:197" s="8" customFormat="1" ht="25.5" customHeight="1" thickBot="1">
      <c r="A26" s="214"/>
      <c r="B26" s="242" t="s">
        <v>1166</v>
      </c>
      <c r="C26" s="186" t="s">
        <v>530</v>
      </c>
      <c r="D26" s="186" t="s">
        <v>530</v>
      </c>
      <c r="E26" s="186"/>
      <c r="F26" s="186"/>
      <c r="G26" s="186"/>
      <c r="H26" s="186"/>
      <c r="I26" s="186"/>
      <c r="J26" s="186"/>
      <c r="K26" s="45"/>
      <c r="L26" s="71"/>
      <c r="M26" s="50"/>
      <c r="N26" s="50"/>
      <c r="O26" s="208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171">
        <v>24</v>
      </c>
      <c r="AC26" s="171"/>
      <c r="AD26" s="168"/>
      <c r="AE26" s="168"/>
      <c r="AF26" s="169"/>
      <c r="AG26" s="165">
        <f t="shared" si="0"/>
        <v>0</v>
      </c>
      <c r="AH26" s="166">
        <f t="shared" si="1"/>
        <v>0</v>
      </c>
      <c r="AI26" s="167">
        <f t="shared" si="2"/>
        <v>0</v>
      </c>
      <c r="AJ26"/>
      <c r="AK26"/>
      <c r="AL26"/>
      <c r="AM26" s="474"/>
      <c r="AN26" s="300" t="s">
        <v>624</v>
      </c>
      <c r="AO26" s="168" t="s">
        <v>1322</v>
      </c>
      <c r="AP26" s="169"/>
      <c r="AQ26" s="20"/>
      <c r="AR26" s="325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</row>
    <row r="27" spans="1:197" s="8" customFormat="1" ht="25.5" customHeight="1" thickBot="1">
      <c r="A27" s="214"/>
      <c r="B27" s="242" t="s">
        <v>1167</v>
      </c>
      <c r="C27" s="187">
        <v>12</v>
      </c>
      <c r="D27" s="187">
        <v>8</v>
      </c>
      <c r="E27" s="187"/>
      <c r="F27" s="187"/>
      <c r="G27" s="187"/>
      <c r="H27" s="187"/>
      <c r="I27" s="187"/>
      <c r="J27" s="187"/>
      <c r="K27" s="45"/>
      <c r="L27" s="70"/>
      <c r="M27" s="53"/>
      <c r="N27" s="53"/>
      <c r="O27" s="208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170">
        <v>25</v>
      </c>
      <c r="AC27" s="170"/>
      <c r="AD27" s="168"/>
      <c r="AE27" s="168"/>
      <c r="AF27" s="169"/>
      <c r="AG27" s="165">
        <f t="shared" si="0"/>
        <v>0</v>
      </c>
      <c r="AH27" s="172">
        <f t="shared" si="1"/>
        <v>0</v>
      </c>
      <c r="AI27" s="167">
        <f t="shared" si="2"/>
        <v>0</v>
      </c>
      <c r="AJ27"/>
      <c r="AK27"/>
      <c r="AL27"/>
      <c r="AQ27" s="20"/>
      <c r="AR27" s="325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</row>
    <row r="28" spans="1:197" s="8" customFormat="1" ht="25.5" customHeight="1" thickBot="1">
      <c r="A28" s="214"/>
      <c r="B28" s="242" t="s">
        <v>1168</v>
      </c>
      <c r="C28" s="187" t="s">
        <v>574</v>
      </c>
      <c r="D28" s="187" t="s">
        <v>572</v>
      </c>
      <c r="E28" s="187"/>
      <c r="F28" s="187"/>
      <c r="G28" s="187"/>
      <c r="H28" s="187"/>
      <c r="I28" s="187"/>
      <c r="J28" s="187"/>
      <c r="K28" s="45"/>
      <c r="L28" s="70"/>
      <c r="M28" s="53"/>
      <c r="N28" s="53"/>
      <c r="O28" s="208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/>
      <c r="AE28"/>
      <c r="AF28" s="173"/>
      <c r="AG28" s="173">
        <f>SUM(AG3:AG27)</f>
        <v>12471.476947535773</v>
      </c>
      <c r="AH28" s="173">
        <f>SUM(AH3:AH27)</f>
        <v>1139.17</v>
      </c>
      <c r="AI28"/>
      <c r="AJ28"/>
      <c r="AK28"/>
      <c r="AL28"/>
      <c r="AM28" s="473">
        <v>7</v>
      </c>
      <c r="AN28" s="300" t="s">
        <v>1124</v>
      </c>
      <c r="AO28" s="168" t="s">
        <v>1365</v>
      </c>
      <c r="AP28" s="169"/>
      <c r="AQ28" s="20"/>
      <c r="AR28" s="325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</row>
    <row r="29" spans="1:197" s="8" customFormat="1" ht="25.5" customHeight="1" thickBot="1">
      <c r="A29" s="214"/>
      <c r="B29" s="242" t="s">
        <v>611</v>
      </c>
      <c r="C29" s="187" t="s">
        <v>653</v>
      </c>
      <c r="D29" s="187" t="s">
        <v>651</v>
      </c>
      <c r="E29" s="187"/>
      <c r="F29" s="187"/>
      <c r="G29" s="187"/>
      <c r="H29" s="187"/>
      <c r="I29" s="187"/>
      <c r="J29" s="187"/>
      <c r="K29" s="45"/>
      <c r="L29" s="70"/>
      <c r="M29" s="53"/>
      <c r="N29" s="53"/>
      <c r="O29" s="21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474"/>
      <c r="AN29" s="300" t="s">
        <v>624</v>
      </c>
      <c r="AO29" s="168" t="s">
        <v>1322</v>
      </c>
      <c r="AP29" s="169"/>
      <c r="AQ29" s="20"/>
      <c r="AR29" s="325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</row>
    <row r="30" spans="1:197" s="8" customFormat="1" ht="25.5" customHeight="1" thickBot="1">
      <c r="A30" s="214"/>
      <c r="B30" s="388" t="s">
        <v>612</v>
      </c>
      <c r="C30" s="389"/>
      <c r="D30" s="389"/>
      <c r="E30" s="389"/>
      <c r="F30" s="389"/>
      <c r="G30" s="389"/>
      <c r="H30" s="389"/>
      <c r="I30" s="389"/>
      <c r="J30" s="390"/>
      <c r="K30" s="45"/>
      <c r="L30" s="70"/>
      <c r="M30" s="53"/>
      <c r="N30" s="53"/>
      <c r="O30" s="21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Q30" s="20"/>
      <c r="AR30" s="325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</row>
    <row r="31" spans="1:197" s="8" customFormat="1" ht="25.5" customHeight="1">
      <c r="A31" s="214"/>
      <c r="B31" s="435" t="s">
        <v>508</v>
      </c>
      <c r="C31" s="436"/>
      <c r="D31" s="436"/>
      <c r="E31" s="436"/>
      <c r="F31" s="436"/>
      <c r="G31" s="436"/>
      <c r="H31" s="436"/>
      <c r="I31" s="436"/>
      <c r="J31" s="437"/>
      <c r="K31" s="45"/>
      <c r="O31" s="21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473">
        <v>8</v>
      </c>
      <c r="AN31" s="300" t="s">
        <v>1124</v>
      </c>
      <c r="AO31" s="168" t="s">
        <v>1365</v>
      </c>
      <c r="AP31" s="169"/>
      <c r="AQ31" s="20"/>
      <c r="AR31" s="325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</row>
    <row r="32" spans="1:197" s="8" customFormat="1" ht="25.5" customHeight="1" thickBot="1">
      <c r="A32" s="214"/>
      <c r="B32" s="438" t="s">
        <v>510</v>
      </c>
      <c r="C32" s="439"/>
      <c r="D32" s="439"/>
      <c r="E32" s="439"/>
      <c r="F32" s="439"/>
      <c r="G32" s="439"/>
      <c r="H32" s="439"/>
      <c r="I32" s="439"/>
      <c r="J32" s="440"/>
      <c r="K32" s="45"/>
      <c r="O32" s="21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474"/>
      <c r="AN32" s="300" t="s">
        <v>624</v>
      </c>
      <c r="AO32" s="168" t="s">
        <v>1322</v>
      </c>
      <c r="AP32" s="169"/>
      <c r="AQ32" s="20"/>
      <c r="AR32" s="325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</row>
    <row r="33" spans="1:197" s="8" customFormat="1" ht="25.5" customHeight="1">
      <c r="A33" s="214"/>
      <c r="B33" s="438" t="s">
        <v>1359</v>
      </c>
      <c r="C33" s="439"/>
      <c r="D33" s="439"/>
      <c r="E33" s="439"/>
      <c r="F33" s="439"/>
      <c r="G33" s="439"/>
      <c r="H33" s="439"/>
      <c r="I33" s="439"/>
      <c r="J33" s="440"/>
      <c r="K33" s="45"/>
      <c r="O33" s="21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Q33" s="20"/>
      <c r="AR33" s="325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</row>
    <row r="34" spans="1:197" s="8" customFormat="1" ht="25.5" customHeight="1" thickBot="1">
      <c r="A34" s="215"/>
      <c r="B34" s="438" t="s">
        <v>1360</v>
      </c>
      <c r="C34" s="441"/>
      <c r="D34" s="441"/>
      <c r="E34" s="441"/>
      <c r="F34" s="441"/>
      <c r="G34" s="441"/>
      <c r="H34" s="441"/>
      <c r="I34" s="441"/>
      <c r="J34" s="442"/>
      <c r="K34" s="45"/>
      <c r="O34" s="21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325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</row>
    <row r="35" spans="1:197" s="5" customFormat="1" ht="25.5" customHeight="1" thickTop="1" thickBot="1">
      <c r="A35" s="213"/>
      <c r="B35" s="242" t="s">
        <v>603</v>
      </c>
      <c r="C35" s="239">
        <f t="shared" ref="C35:J35" si="4">C18</f>
        <v>10000</v>
      </c>
      <c r="D35" s="239">
        <f t="shared" si="4"/>
        <v>15000</v>
      </c>
      <c r="E35" s="239">
        <f t="shared" si="4"/>
        <v>38000</v>
      </c>
      <c r="F35" s="239">
        <f t="shared" si="4"/>
        <v>22000</v>
      </c>
      <c r="G35" s="239">
        <f t="shared" si="4"/>
        <v>35000</v>
      </c>
      <c r="H35" s="239">
        <f t="shared" si="4"/>
        <v>38000</v>
      </c>
      <c r="I35" s="239">
        <f t="shared" si="4"/>
        <v>10000</v>
      </c>
      <c r="J35" s="239">
        <f t="shared" si="4"/>
        <v>25000</v>
      </c>
      <c r="K35" s="45"/>
      <c r="O35" s="54"/>
      <c r="AR35" s="322"/>
    </row>
    <row r="36" spans="1:197" s="5" customFormat="1" ht="25.5" customHeight="1" thickTop="1">
      <c r="A36" s="214"/>
      <c r="B36" s="72" t="s">
        <v>614</v>
      </c>
      <c r="C36" s="143">
        <f>IF(ROYALTY_ESPECIE_01&lt;&gt;0,ROYALTY_ESPECIE_01*VLOOKUP(Moeda_01,$P$3:$Q$8,2,FALSE),ROYALTY_PERCENTUAL_01*PrecoMKT_01)</f>
        <v>1800</v>
      </c>
      <c r="D36" s="143">
        <f>IF(ROYALTY_ESPECIE_02&lt;&gt;0,ROYALTY_ESPECIE_02*VLOOKUP(Moeda_02,$P$3:$Q$8,2,FALSE),ROYALTY_PERCENTUAL_02*PrecoMKT_02)</f>
        <v>340</v>
      </c>
      <c r="E36" s="143">
        <f>IF(ROYALTY_ESPECIE_03&lt;&gt;0,ROYALTY_ESPECIE_03*VLOOKUP(Moeda_03,$P$3:$Q$8,2,FALSE),ROYALTY_PERCENTUAL_03*PrecoMKT_03)</f>
        <v>4800</v>
      </c>
      <c r="F36" s="143">
        <f>IF(ROYALTY_ESPECIE_04&lt;&gt;0,ROYALTY_ESPECIE_04*VLOOKUP(Moeda_04,$P$3:$Q$8,2,FALSE),ROYALTY_PERCENTUAL_04*PrecoMKT_04)</f>
        <v>0</v>
      </c>
      <c r="G36" s="143">
        <f>IF(ROYALTY_ESPECIE_05&lt;&gt;0,ROYALTY_ESPECIE_05*VLOOKUP(Moeda_05,$P$3:$Q$8,2,FALSE),ROYALTY_PERCENTUAL_05*PrecoMKT_05)</f>
        <v>0</v>
      </c>
      <c r="H36" s="143">
        <f>IF(ROYALTY_ESPECIE_06&lt;&gt;0,ROYALTY_ESPECIE_06*VLOOKUP(Moeda_06,$P$3:$Q$8,2,FALSE),ROYALTY_PERCENTUAL_06*PrecoMKT_06)</f>
        <v>0</v>
      </c>
      <c r="I36" s="143">
        <f>IF(ROYALTY_ESPECIE_07&lt;&gt;0,ROYALTY_ESPECIE_07*VLOOKUP(Moeda_07,$P$3:$Q$8,2,FALSE),ROYALTY_PERCENTUAL_07*PrecoMKT_07)</f>
        <v>0</v>
      </c>
      <c r="J36" s="143">
        <f>IF(ROYALTY_ESPECIE_08&lt;&gt;0,ROYALTY_ESPECIE_08*VLOOKUP(Moeda_08,$P$3:$Q$8,2,FALSE),ROYALTY_PERCENTUAL_08*PrecoMKT_08)</f>
        <v>0</v>
      </c>
      <c r="K36" s="45"/>
      <c r="O36" s="54"/>
      <c r="AR36" s="322"/>
    </row>
    <row r="37" spans="1:197" s="5" customFormat="1" ht="25.5" customHeight="1">
      <c r="A37" s="214"/>
      <c r="B37" s="10" t="s">
        <v>615</v>
      </c>
      <c r="C37" s="225" t="s">
        <v>1131</v>
      </c>
      <c r="D37" s="225" t="s">
        <v>1131</v>
      </c>
      <c r="E37" s="225" t="s">
        <v>1131</v>
      </c>
      <c r="F37" s="225" t="s">
        <v>1131</v>
      </c>
      <c r="G37" s="225" t="s">
        <v>1131</v>
      </c>
      <c r="H37" s="225" t="s">
        <v>1131</v>
      </c>
      <c r="I37" s="225" t="s">
        <v>1131</v>
      </c>
      <c r="J37" s="225" t="s">
        <v>1131</v>
      </c>
      <c r="K37" s="45"/>
      <c r="O37" s="54"/>
      <c r="AR37" s="322"/>
    </row>
    <row r="38" spans="1:197" s="5" customFormat="1" ht="25.5" customHeight="1">
      <c r="A38" s="214"/>
      <c r="B38" s="10" t="s">
        <v>583</v>
      </c>
      <c r="C38" s="226" t="s">
        <v>1131</v>
      </c>
      <c r="D38" s="226" t="s">
        <v>1131</v>
      </c>
      <c r="E38" s="226" t="s">
        <v>1131</v>
      </c>
      <c r="F38" s="226" t="s">
        <v>1131</v>
      </c>
      <c r="G38" s="226" t="s">
        <v>1131</v>
      </c>
      <c r="H38" s="226" t="s">
        <v>1131</v>
      </c>
      <c r="I38" s="226" t="s">
        <v>1131</v>
      </c>
      <c r="J38" s="226" t="s">
        <v>1131</v>
      </c>
      <c r="K38" s="45"/>
      <c r="O38" s="54"/>
      <c r="AR38" s="322"/>
    </row>
    <row r="39" spans="1:197" s="5" customFormat="1" ht="25.5" customHeight="1">
      <c r="A39" s="214"/>
      <c r="B39" s="10" t="s">
        <v>584</v>
      </c>
      <c r="C39" s="226" t="s">
        <v>1131</v>
      </c>
      <c r="D39" s="226" t="s">
        <v>1131</v>
      </c>
      <c r="E39" s="226" t="s">
        <v>1131</v>
      </c>
      <c r="F39" s="226" t="s">
        <v>1131</v>
      </c>
      <c r="G39" s="226" t="s">
        <v>1131</v>
      </c>
      <c r="H39" s="226" t="s">
        <v>1131</v>
      </c>
      <c r="I39" s="226" t="s">
        <v>1131</v>
      </c>
      <c r="J39" s="226" t="s">
        <v>1131</v>
      </c>
      <c r="K39" s="45"/>
      <c r="O39" s="54"/>
      <c r="AR39" s="322"/>
    </row>
    <row r="40" spans="1:197" s="5" customFormat="1" ht="25.5" customHeight="1">
      <c r="A40" s="214"/>
      <c r="B40" s="11" t="s">
        <v>585</v>
      </c>
      <c r="C40" s="226" t="s">
        <v>1131</v>
      </c>
      <c r="D40" s="226" t="s">
        <v>1131</v>
      </c>
      <c r="E40" s="226" t="s">
        <v>1131</v>
      </c>
      <c r="F40" s="226" t="s">
        <v>1131</v>
      </c>
      <c r="G40" s="226" t="s">
        <v>1131</v>
      </c>
      <c r="H40" s="226" t="s">
        <v>1131</v>
      </c>
      <c r="I40" s="226" t="s">
        <v>1131</v>
      </c>
      <c r="J40" s="226" t="s">
        <v>1131</v>
      </c>
      <c r="K40" s="45"/>
      <c r="O40" s="54"/>
      <c r="AR40" s="322"/>
    </row>
    <row r="41" spans="1:197" s="5" customFormat="1" ht="25.5" customHeight="1">
      <c r="A41" s="214"/>
      <c r="B41" s="11" t="s">
        <v>586</v>
      </c>
      <c r="C41" s="226" t="s">
        <v>1131</v>
      </c>
      <c r="D41" s="226" t="s">
        <v>1131</v>
      </c>
      <c r="E41" s="226" t="s">
        <v>1131</v>
      </c>
      <c r="F41" s="226" t="s">
        <v>1131</v>
      </c>
      <c r="G41" s="226" t="s">
        <v>1131</v>
      </c>
      <c r="H41" s="226" t="s">
        <v>1131</v>
      </c>
      <c r="I41" s="226" t="s">
        <v>1131</v>
      </c>
      <c r="J41" s="226" t="s">
        <v>1131</v>
      </c>
      <c r="K41" s="45"/>
      <c r="O41" s="54"/>
      <c r="AR41" s="322"/>
    </row>
    <row r="42" spans="1:197" s="5" customFormat="1" ht="25.5" customHeight="1">
      <c r="A42" s="214"/>
      <c r="B42" s="10" t="s">
        <v>616</v>
      </c>
      <c r="C42" s="226" t="s">
        <v>1131</v>
      </c>
      <c r="D42" s="226" t="s">
        <v>1131</v>
      </c>
      <c r="E42" s="226" t="s">
        <v>1131</v>
      </c>
      <c r="F42" s="226" t="s">
        <v>1131</v>
      </c>
      <c r="G42" s="226" t="s">
        <v>1131</v>
      </c>
      <c r="H42" s="226" t="s">
        <v>1131</v>
      </c>
      <c r="I42" s="226" t="s">
        <v>1131</v>
      </c>
      <c r="J42" s="226" t="s">
        <v>1131</v>
      </c>
      <c r="K42" s="45"/>
      <c r="O42" s="54"/>
      <c r="AR42" s="322"/>
    </row>
    <row r="43" spans="1:197" s="5" customFormat="1" ht="25.5" customHeight="1">
      <c r="A43" s="214"/>
      <c r="B43" s="10" t="s">
        <v>1125</v>
      </c>
      <c r="C43" s="226" t="s">
        <v>1131</v>
      </c>
      <c r="D43" s="226" t="s">
        <v>1131</v>
      </c>
      <c r="E43" s="226" t="s">
        <v>1131</v>
      </c>
      <c r="F43" s="226" t="s">
        <v>1131</v>
      </c>
      <c r="G43" s="226" t="s">
        <v>1131</v>
      </c>
      <c r="H43" s="226" t="s">
        <v>1131</v>
      </c>
      <c r="I43" s="226" t="s">
        <v>1131</v>
      </c>
      <c r="J43" s="226" t="s">
        <v>1131</v>
      </c>
      <c r="K43" s="45"/>
      <c r="O43" s="54"/>
      <c r="AR43" s="322"/>
    </row>
    <row r="44" spans="1:197" s="5" customFormat="1" ht="25.5" customHeight="1">
      <c r="A44" s="214"/>
      <c r="B44" s="10" t="s">
        <v>1126</v>
      </c>
      <c r="C44" s="226" t="s">
        <v>1131</v>
      </c>
      <c r="D44" s="226" t="s">
        <v>1131</v>
      </c>
      <c r="E44" s="226" t="s">
        <v>1131</v>
      </c>
      <c r="F44" s="226" t="s">
        <v>1131</v>
      </c>
      <c r="G44" s="226" t="s">
        <v>1131</v>
      </c>
      <c r="H44" s="226" t="s">
        <v>1131</v>
      </c>
      <c r="I44" s="226" t="s">
        <v>1131</v>
      </c>
      <c r="J44" s="226" t="s">
        <v>1131</v>
      </c>
      <c r="K44" s="45"/>
      <c r="O44" s="54"/>
      <c r="AR44" s="322"/>
    </row>
    <row r="45" spans="1:197" s="5" customFormat="1" ht="25.5" customHeight="1">
      <c r="A45" s="214"/>
      <c r="B45" s="10" t="s">
        <v>1124</v>
      </c>
      <c r="C45" s="226" t="s">
        <v>1131</v>
      </c>
      <c r="D45" s="226" t="s">
        <v>1131</v>
      </c>
      <c r="E45" s="226" t="s">
        <v>1131</v>
      </c>
      <c r="F45" s="226" t="s">
        <v>1131</v>
      </c>
      <c r="G45" s="226" t="s">
        <v>1131</v>
      </c>
      <c r="H45" s="226" t="s">
        <v>1131</v>
      </c>
      <c r="I45" s="226" t="s">
        <v>1131</v>
      </c>
      <c r="J45" s="226" t="s">
        <v>1131</v>
      </c>
      <c r="K45" s="45"/>
      <c r="O45" s="54"/>
      <c r="AR45" s="322"/>
    </row>
    <row r="46" spans="1:197" s="5" customFormat="1" ht="25.5" customHeight="1">
      <c r="A46" s="214"/>
      <c r="B46" s="10" t="s">
        <v>618</v>
      </c>
      <c r="C46" s="226" t="s">
        <v>1131</v>
      </c>
      <c r="D46" s="226" t="s">
        <v>1131</v>
      </c>
      <c r="E46" s="226" t="s">
        <v>1131</v>
      </c>
      <c r="F46" s="226" t="s">
        <v>1131</v>
      </c>
      <c r="G46" s="226" t="s">
        <v>1131</v>
      </c>
      <c r="H46" s="226" t="s">
        <v>1131</v>
      </c>
      <c r="I46" s="226" t="s">
        <v>1131</v>
      </c>
      <c r="J46" s="226" t="s">
        <v>1131</v>
      </c>
      <c r="K46" s="45"/>
      <c r="O46" s="54"/>
      <c r="AR46" s="322"/>
    </row>
    <row r="47" spans="1:197" s="5" customFormat="1" ht="25.5" customHeight="1">
      <c r="A47" s="214"/>
      <c r="B47" s="10" t="s">
        <v>619</v>
      </c>
      <c r="C47" s="226" t="s">
        <v>1131</v>
      </c>
      <c r="D47" s="226" t="s">
        <v>1131</v>
      </c>
      <c r="E47" s="226" t="s">
        <v>1131</v>
      </c>
      <c r="F47" s="226" t="s">
        <v>1131</v>
      </c>
      <c r="G47" s="226" t="s">
        <v>1131</v>
      </c>
      <c r="H47" s="226" t="s">
        <v>1131</v>
      </c>
      <c r="I47" s="226" t="s">
        <v>1131</v>
      </c>
      <c r="J47" s="226" t="s">
        <v>1131</v>
      </c>
      <c r="K47" s="45"/>
      <c r="O47" s="54"/>
      <c r="AR47" s="322"/>
    </row>
    <row r="48" spans="1:197" s="5" customFormat="1" ht="25.5" customHeight="1">
      <c r="A48" s="214"/>
      <c r="B48" s="10" t="s">
        <v>620</v>
      </c>
      <c r="C48" s="226" t="s">
        <v>1131</v>
      </c>
      <c r="D48" s="226" t="s">
        <v>1131</v>
      </c>
      <c r="E48" s="226" t="s">
        <v>1131</v>
      </c>
      <c r="F48" s="226" t="s">
        <v>1131</v>
      </c>
      <c r="G48" s="226" t="s">
        <v>1131</v>
      </c>
      <c r="H48" s="226" t="s">
        <v>1131</v>
      </c>
      <c r="I48" s="226" t="s">
        <v>1131</v>
      </c>
      <c r="J48" s="226" t="s">
        <v>1131</v>
      </c>
      <c r="K48" s="45"/>
      <c r="O48" s="54"/>
      <c r="AR48" s="322"/>
    </row>
    <row r="49" spans="1:44" s="5" customFormat="1" ht="25.5" customHeight="1">
      <c r="A49" s="214"/>
      <c r="B49" s="10" t="s">
        <v>617</v>
      </c>
      <c r="C49" s="226" t="s">
        <v>1131</v>
      </c>
      <c r="D49" s="226" t="s">
        <v>1131</v>
      </c>
      <c r="E49" s="226" t="s">
        <v>1131</v>
      </c>
      <c r="F49" s="226" t="s">
        <v>1131</v>
      </c>
      <c r="G49" s="226" t="s">
        <v>1131</v>
      </c>
      <c r="H49" s="226" t="s">
        <v>1131</v>
      </c>
      <c r="I49" s="226" t="s">
        <v>1131</v>
      </c>
      <c r="J49" s="226" t="s">
        <v>1131</v>
      </c>
      <c r="K49" s="45"/>
      <c r="O49" s="54"/>
      <c r="AR49" s="322"/>
    </row>
    <row r="50" spans="1:44" s="5" customFormat="1" ht="25.5" customHeight="1">
      <c r="A50" s="214"/>
      <c r="B50" s="10" t="s">
        <v>621</v>
      </c>
      <c r="C50" s="226" t="s">
        <v>1131</v>
      </c>
      <c r="D50" s="226" t="s">
        <v>1131</v>
      </c>
      <c r="E50" s="226" t="s">
        <v>1131</v>
      </c>
      <c r="F50" s="226" t="s">
        <v>1131</v>
      </c>
      <c r="G50" s="226" t="s">
        <v>1131</v>
      </c>
      <c r="H50" s="226" t="s">
        <v>1131</v>
      </c>
      <c r="I50" s="226" t="s">
        <v>1131</v>
      </c>
      <c r="J50" s="226" t="s">
        <v>1131</v>
      </c>
      <c r="K50" s="45"/>
      <c r="O50" s="54"/>
      <c r="AR50" s="322"/>
    </row>
    <row r="51" spans="1:44" s="5" customFormat="1" ht="25.5" customHeight="1">
      <c r="A51" s="214"/>
      <c r="B51" s="10" t="s">
        <v>1181</v>
      </c>
      <c r="C51" s="226" t="s">
        <v>1131</v>
      </c>
      <c r="D51" s="226" t="s">
        <v>1131</v>
      </c>
      <c r="E51" s="226" t="s">
        <v>1131</v>
      </c>
      <c r="F51" s="226" t="s">
        <v>1131</v>
      </c>
      <c r="G51" s="226" t="s">
        <v>1131</v>
      </c>
      <c r="H51" s="226" t="s">
        <v>1131</v>
      </c>
      <c r="I51" s="226" t="s">
        <v>1131</v>
      </c>
      <c r="J51" s="226" t="s">
        <v>1131</v>
      </c>
      <c r="K51" s="45"/>
      <c r="O51" s="54"/>
      <c r="AR51" s="322"/>
    </row>
    <row r="52" spans="1:44" s="5" customFormat="1" ht="25.5" customHeight="1">
      <c r="A52" s="214"/>
      <c r="B52" s="10" t="s">
        <v>1182</v>
      </c>
      <c r="C52" s="226" t="s">
        <v>1131</v>
      </c>
      <c r="D52" s="226" t="s">
        <v>1131</v>
      </c>
      <c r="E52" s="226" t="s">
        <v>1131</v>
      </c>
      <c r="F52" s="226" t="s">
        <v>1131</v>
      </c>
      <c r="G52" s="226" t="s">
        <v>1131</v>
      </c>
      <c r="H52" s="226" t="s">
        <v>1131</v>
      </c>
      <c r="I52" s="226" t="s">
        <v>1131</v>
      </c>
      <c r="J52" s="226" t="s">
        <v>1131</v>
      </c>
      <c r="K52" s="45"/>
      <c r="O52" s="54"/>
      <c r="AR52" s="322"/>
    </row>
    <row r="53" spans="1:44" s="5" customFormat="1" ht="25.5" customHeight="1">
      <c r="A53" s="214"/>
      <c r="B53" s="10" t="s">
        <v>622</v>
      </c>
      <c r="C53" s="226" t="s">
        <v>1131</v>
      </c>
      <c r="D53" s="226" t="s">
        <v>1131</v>
      </c>
      <c r="E53" s="226" t="s">
        <v>1131</v>
      </c>
      <c r="F53" s="226" t="s">
        <v>1131</v>
      </c>
      <c r="G53" s="226" t="s">
        <v>1131</v>
      </c>
      <c r="H53" s="226" t="s">
        <v>1131</v>
      </c>
      <c r="I53" s="226" t="s">
        <v>1131</v>
      </c>
      <c r="J53" s="226" t="s">
        <v>1131</v>
      </c>
      <c r="K53" s="45"/>
      <c r="O53" s="54"/>
      <c r="AR53" s="322"/>
    </row>
    <row r="54" spans="1:44" s="5" customFormat="1" ht="25.5" customHeight="1">
      <c r="A54" s="214"/>
      <c r="B54" s="10" t="s">
        <v>623</v>
      </c>
      <c r="C54" s="226" t="s">
        <v>1131</v>
      </c>
      <c r="D54" s="226" t="s">
        <v>1131</v>
      </c>
      <c r="E54" s="226" t="s">
        <v>1131</v>
      </c>
      <c r="F54" s="226" t="s">
        <v>1131</v>
      </c>
      <c r="G54" s="226" t="s">
        <v>1131</v>
      </c>
      <c r="H54" s="226" t="s">
        <v>1131</v>
      </c>
      <c r="I54" s="226" t="s">
        <v>1131</v>
      </c>
      <c r="J54" s="226" t="s">
        <v>1131</v>
      </c>
      <c r="K54" s="45"/>
      <c r="O54" s="54"/>
      <c r="AR54" s="322"/>
    </row>
    <row r="55" spans="1:44" s="5" customFormat="1" ht="25.5" customHeight="1">
      <c r="A55" s="214"/>
      <c r="B55" s="10" t="s">
        <v>624</v>
      </c>
      <c r="C55" s="226" t="s">
        <v>1131</v>
      </c>
      <c r="D55" s="226" t="s">
        <v>1131</v>
      </c>
      <c r="E55" s="226" t="s">
        <v>1131</v>
      </c>
      <c r="F55" s="226" t="s">
        <v>1131</v>
      </c>
      <c r="G55" s="226" t="s">
        <v>1131</v>
      </c>
      <c r="H55" s="226" t="s">
        <v>1131</v>
      </c>
      <c r="I55" s="226" t="s">
        <v>1131</v>
      </c>
      <c r="J55" s="226" t="s">
        <v>1131</v>
      </c>
      <c r="K55" s="45"/>
      <c r="O55" s="54"/>
      <c r="AR55" s="322"/>
    </row>
    <row r="56" spans="1:44" s="5" customFormat="1" ht="25.5" customHeight="1">
      <c r="A56" s="214"/>
      <c r="B56" s="10" t="s">
        <v>625</v>
      </c>
      <c r="C56" s="226" t="s">
        <v>1131</v>
      </c>
      <c r="D56" s="226" t="s">
        <v>1131</v>
      </c>
      <c r="E56" s="226" t="s">
        <v>1131</v>
      </c>
      <c r="F56" s="226" t="s">
        <v>1131</v>
      </c>
      <c r="G56" s="226" t="s">
        <v>1131</v>
      </c>
      <c r="H56" s="226" t="s">
        <v>1131</v>
      </c>
      <c r="I56" s="226" t="s">
        <v>1131</v>
      </c>
      <c r="J56" s="226" t="s">
        <v>1131</v>
      </c>
      <c r="K56" s="45"/>
      <c r="O56" s="54"/>
      <c r="AR56" s="322"/>
    </row>
    <row r="57" spans="1:44" s="5" customFormat="1" ht="25.5" customHeight="1" thickBot="1">
      <c r="A57" s="214"/>
      <c r="B57" s="11" t="s">
        <v>587</v>
      </c>
      <c r="C57" s="226" t="s">
        <v>1131</v>
      </c>
      <c r="D57" s="226" t="s">
        <v>1131</v>
      </c>
      <c r="E57" s="226" t="s">
        <v>1131</v>
      </c>
      <c r="F57" s="226" t="s">
        <v>1131</v>
      </c>
      <c r="G57" s="226" t="s">
        <v>1131</v>
      </c>
      <c r="H57" s="226" t="s">
        <v>1131</v>
      </c>
      <c r="I57" s="226" t="s">
        <v>1131</v>
      </c>
      <c r="J57" s="226" t="s">
        <v>1131</v>
      </c>
      <c r="K57" s="45"/>
      <c r="O57" s="54"/>
      <c r="AR57" s="322"/>
    </row>
    <row r="58" spans="1:44" s="5" customFormat="1" ht="25.5" customHeight="1" thickBot="1">
      <c r="A58" s="214"/>
      <c r="B58" s="240" t="s">
        <v>1170</v>
      </c>
      <c r="C58" s="241">
        <f>SUM(C36:C57)</f>
        <v>1800</v>
      </c>
      <c r="D58" s="241">
        <f t="shared" ref="D58:J58" si="5">SUM(D36:D57)</f>
        <v>340</v>
      </c>
      <c r="E58" s="241">
        <f t="shared" si="5"/>
        <v>4800</v>
      </c>
      <c r="F58" s="241">
        <f t="shared" si="5"/>
        <v>0</v>
      </c>
      <c r="G58" s="241">
        <f t="shared" si="5"/>
        <v>0</v>
      </c>
      <c r="H58" s="241">
        <f t="shared" si="5"/>
        <v>0</v>
      </c>
      <c r="I58" s="241">
        <f t="shared" si="5"/>
        <v>0</v>
      </c>
      <c r="J58" s="241">
        <f t="shared" si="5"/>
        <v>0</v>
      </c>
      <c r="K58" s="45"/>
      <c r="O58" s="54"/>
      <c r="AR58" s="322"/>
    </row>
    <row r="59" spans="1:44" s="8" customFormat="1" ht="25.5" customHeight="1" thickBot="1">
      <c r="A59" s="216"/>
      <c r="B59" s="388" t="s">
        <v>589</v>
      </c>
      <c r="C59" s="389"/>
      <c r="D59" s="389"/>
      <c r="E59" s="389"/>
      <c r="F59" s="389"/>
      <c r="G59" s="389"/>
      <c r="H59" s="389"/>
      <c r="I59" s="389"/>
      <c r="J59" s="390"/>
      <c r="K59" s="45"/>
      <c r="O59" s="210"/>
      <c r="AR59" s="322"/>
    </row>
    <row r="60" spans="1:44" s="78" customFormat="1" ht="31.5" customHeight="1" thickTop="1" thickBot="1">
      <c r="A60" s="216"/>
      <c r="B60" s="238" t="str">
        <f>B35</f>
        <v>TIRAGEM:</v>
      </c>
      <c r="C60" s="239">
        <f>C35</f>
        <v>10000</v>
      </c>
      <c r="D60" s="239">
        <f t="shared" ref="D60:J60" si="6">D35</f>
        <v>15000</v>
      </c>
      <c r="E60" s="239">
        <f t="shared" si="6"/>
        <v>38000</v>
      </c>
      <c r="F60" s="239">
        <f t="shared" si="6"/>
        <v>22000</v>
      </c>
      <c r="G60" s="239">
        <f t="shared" si="6"/>
        <v>35000</v>
      </c>
      <c r="H60" s="239">
        <f t="shared" si="6"/>
        <v>38000</v>
      </c>
      <c r="I60" s="239">
        <f t="shared" si="6"/>
        <v>10000</v>
      </c>
      <c r="J60" s="239">
        <f t="shared" si="6"/>
        <v>25000</v>
      </c>
      <c r="K60" s="83"/>
      <c r="O60" s="211"/>
      <c r="AR60" s="326"/>
    </row>
    <row r="61" spans="1:44" ht="31.5" customHeight="1" thickTop="1" thickBot="1">
      <c r="B61" s="12"/>
      <c r="C61" s="147"/>
      <c r="D61" s="147"/>
      <c r="E61" s="148"/>
      <c r="F61" s="148"/>
      <c r="G61" s="148"/>
      <c r="H61" s="148"/>
      <c r="I61" s="148"/>
      <c r="J61" s="148"/>
    </row>
    <row r="62" spans="1:44" ht="30.75" customHeight="1" thickBot="1">
      <c r="B62" s="65" t="s">
        <v>1194</v>
      </c>
      <c r="C62" s="248" t="str">
        <f>IF(ISERROR(VLOOKUP(LINHA_DE_PRODUTO_01,$L$3:$N$30,3,FALSE)),"0",VLOOKUP(LINHA_DE_PRODUTO_01,$L$3:$N$30,3,FALSE))</f>
        <v>0,55</v>
      </c>
      <c r="D62" s="248" t="str">
        <f>IF(ISERROR(VLOOKUP(LINHA_DE_PRODUTO_02,$L$3:$N$30,3,FALSE)),"0",VLOOKUP(LINHA_DE_PRODUTO_02,$L$3:$N$30,3,FALSE))</f>
        <v>0,25</v>
      </c>
      <c r="E62" s="248" t="str">
        <f>IF(ISERROR(VLOOKUP(LINHA_DE_PRODUTO_03,$L$3:$N$30,3,FALSE)),"0",VLOOKUP(LINHA_DE_PRODUTO_03,$L$3:$N$30,3,FALSE))</f>
        <v>0,50</v>
      </c>
      <c r="F62" s="248" t="str">
        <f>IF(ISERROR(VLOOKUP(LINHA_DE_PRODUTO_04,$L$3:$N$30,3,FALSE)),"0",VLOOKUP(LINHA_DE_PRODUTO_04,$L$3:$N$30,3,FALSE))</f>
        <v>0,55</v>
      </c>
      <c r="G62" s="248" t="str">
        <f>IF(ISERROR(VLOOKUP(LINHA_DE_PRODUTO_05,$L$3:$N$30,3,FALSE)),"0",VLOOKUP(LINHA_DE_PRODUTO_05,$L$3:$N$30,3,FALSE))</f>
        <v>0,55</v>
      </c>
      <c r="H62" s="248" t="str">
        <f>IF(ISERROR(VLOOKUP(LINHA_DE_PRODUTO_06,$L$3:$N$30,3,FALSE)),"0",VLOOKUP(LINHA_DE_PRODUTO_06,$L$3:$N$30,3,FALSE))</f>
        <v>0,55</v>
      </c>
      <c r="I62" s="248" t="str">
        <f>IF(ISERROR(VLOOKUP(LINHA_DE_PRODUTO_07,$L$3:$N$30,3,FALSE)),"0",VLOOKUP(LINHA_DE_PRODUTO_07,$L$3:$N$30,3,FALSE))</f>
        <v>0,25</v>
      </c>
      <c r="J62" s="248" t="str">
        <f>IF(ISERROR(VLOOKUP(LINHA_DE_PRODUTO_08,$L$3:$N$30,3,FALSE)),"0",VLOOKUP(LINHA_DE_PRODUTO_08,$L$3:$N$30,3,FALSE))</f>
        <v>0,50</v>
      </c>
    </row>
    <row r="63" spans="1:44" ht="30.75" customHeight="1" thickBot="1">
      <c r="B63" s="65" t="s">
        <v>1193</v>
      </c>
      <c r="C63" s="249">
        <f>PrecoDeCompras_01*MARGEM_MINIMA_01</f>
        <v>6270.0000000000009</v>
      </c>
      <c r="D63" s="249">
        <f>PrecoDeCompras_02*MARGEM_MINIMA_02</f>
        <v>4037.5</v>
      </c>
      <c r="E63" s="249">
        <f>PrecoDeCompras_03*MARGEM_MINIMA_03</f>
        <v>19000</v>
      </c>
      <c r="F63" s="249">
        <f>PrecoDeCompras_04*MARGEM_MINIMA_04</f>
        <v>0</v>
      </c>
      <c r="G63" s="249">
        <f>PrecoDeCompras_05*MARGEM_MINIMA_05</f>
        <v>0</v>
      </c>
      <c r="H63" s="249">
        <f>PrecoDeCompras_06*MARGEM_MINIMA_06</f>
        <v>0</v>
      </c>
      <c r="I63" s="249">
        <f>PrecoDeCompras_07*MARGEM_MINIMA_07</f>
        <v>0</v>
      </c>
      <c r="J63" s="249">
        <f>PrecoDeCompras_08*MARGEM_MINIMA_08</f>
        <v>0</v>
      </c>
    </row>
    <row r="64" spans="1:44" ht="31.5" customHeight="1" thickBot="1">
      <c r="C64" s="149"/>
      <c r="D64" s="149"/>
      <c r="E64" s="150"/>
      <c r="F64" s="150"/>
      <c r="G64" s="151"/>
      <c r="H64" s="151"/>
      <c r="I64" s="151"/>
      <c r="J64" s="151"/>
    </row>
    <row r="65" spans="1:219" s="46" customFormat="1" ht="31.5" customHeight="1" thickTop="1" thickBot="1">
      <c r="A65" s="3"/>
      <c r="B65" s="271" t="s">
        <v>1331</v>
      </c>
      <c r="C65" s="272">
        <v>12000</v>
      </c>
      <c r="D65" s="272">
        <v>17000</v>
      </c>
      <c r="E65" s="272">
        <v>40000</v>
      </c>
      <c r="F65" s="272" t="s">
        <v>1131</v>
      </c>
      <c r="G65" s="272" t="s">
        <v>1131</v>
      </c>
      <c r="H65" s="272" t="s">
        <v>1131</v>
      </c>
      <c r="I65" s="272" t="s">
        <v>1131</v>
      </c>
      <c r="J65" s="273" t="s">
        <v>1131</v>
      </c>
      <c r="L65" s="3"/>
      <c r="M65" s="3"/>
      <c r="N65" s="3"/>
      <c r="O65" s="207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21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</row>
    <row r="66" spans="1:219" s="46" customFormat="1" ht="31.5" customHeight="1">
      <c r="A66" s="3"/>
      <c r="B66" s="258" t="s">
        <v>1172</v>
      </c>
      <c r="C66" s="235">
        <f>IF(ISERROR(TIRAGEM_01*ValorUnitarioMKT_01),"0",TIRAGEM_01*ValorUnitarioMKT_01)</f>
        <v>12000</v>
      </c>
      <c r="D66" s="235">
        <f>IF(ISERROR(TIRAGEM_02*ValorUnitarioMKT_02),"0",TIRAGEM_02*ValorUnitarioMKT_02)</f>
        <v>17000</v>
      </c>
      <c r="E66" s="235">
        <f>IF(ISERROR(TIRAGEM_03*ValorUnitarioMKT_03),"0",TIRAGEM_03*ValorUnitarioMKT_03)</f>
        <v>40000</v>
      </c>
      <c r="F66" s="235">
        <f>IF(ISERROR(TIRAGEM_04*ValorUnitarioMKT_04),"0",TIRAGEM_04*ValorUnitarioMKT_04)</f>
        <v>0</v>
      </c>
      <c r="G66" s="235">
        <f>IF(ISERROR(TIRAGEM_05*ValorUnitarioMKT_05),"0",TIRAGEM_05*ValorUnitarioMKT_05)</f>
        <v>0</v>
      </c>
      <c r="H66" s="235">
        <f>IF(ISERROR(TIRAGEM_06*ValorUnitarioMKT_06),"0",TIRAGEM_06*ValorUnitarioMKT_06)</f>
        <v>0</v>
      </c>
      <c r="I66" s="235">
        <f>IF(ISERROR(TIRAGEM_07*ValorUnitarioMKT_07),"0",TIRAGEM_07*ValorUnitarioMKT_07)</f>
        <v>0</v>
      </c>
      <c r="J66" s="274">
        <f>IF(ISERROR(TIRAGEM_08*ValorUnitarioMKT_08),"0",TIRAGEM_08*ValorUnitarioMKT_08)</f>
        <v>0</v>
      </c>
      <c r="L66" s="3"/>
      <c r="M66" s="3"/>
      <c r="N66" s="3"/>
      <c r="O66" s="207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21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</row>
    <row r="67" spans="1:219" s="46" customFormat="1" ht="31.5" customHeight="1">
      <c r="A67" s="3"/>
      <c r="B67" s="260" t="s">
        <v>1179</v>
      </c>
      <c r="C67" s="236">
        <f>IF(ISERROR(PrecoMKT_01/TIRAGEM_01),"0",PrecoMKT_01/TIRAGEM_01)</f>
        <v>1.2</v>
      </c>
      <c r="D67" s="236">
        <f>IF(ISERROR(PrecoMKT_02/TIRAGEM_02),"0",PrecoMKT_02/TIRAGEM_02)</f>
        <v>1.1333333333333333</v>
      </c>
      <c r="E67" s="236">
        <f>IF(ISERROR(PrecoMKT_03/TIRAGEM_03),"0",PrecoMKT_03/TIRAGEM_03)</f>
        <v>1.0526315789473684</v>
      </c>
      <c r="F67" s="236">
        <f>IF(ISERROR(PrecoMKT_04/TIRAGEM_04),"0",PrecoMKT_04/TIRAGEM_04)</f>
        <v>0</v>
      </c>
      <c r="G67" s="236">
        <f>IF(ISERROR(PrecoMKT_05/TIRAGEM_05),"0",PrecoMKT_05/TIRAGEM_05)</f>
        <v>0</v>
      </c>
      <c r="H67" s="236">
        <f>IF(ISERROR(PrecoMKT_06/TIRAGEM_06),"0",PrecoMKT_06/TIRAGEM_06)</f>
        <v>0</v>
      </c>
      <c r="I67" s="236">
        <f>IF(ISERROR(PrecoMKT_07/TIRAGEM_07),"0",PrecoMKT_07/TIRAGEM_07)</f>
        <v>0</v>
      </c>
      <c r="J67" s="275">
        <f>IF(ISERROR(PrecoMKT_08/TIRAGEM_08),"0",PrecoMKT_08/TIRAGEM_08)</f>
        <v>0</v>
      </c>
      <c r="L67" s="3"/>
      <c r="M67" s="3"/>
      <c r="N67" s="3"/>
      <c r="O67" s="20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21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</row>
    <row r="68" spans="1:219" s="46" customFormat="1" ht="31.5" customHeight="1">
      <c r="A68" s="3"/>
      <c r="B68" s="260" t="s">
        <v>1180</v>
      </c>
      <c r="C68" s="237">
        <f>IF(ISERROR(MargemBrutaMKT_01/PrecoMKT_01),"0",MargemBrutaMKT_01/PrecoMKT_01)</f>
        <v>0.85</v>
      </c>
      <c r="D68" s="237">
        <f>IF(ISERROR(MargemBrutaMKT_02/PrecoMKT_02),"0",MargemBrutaMKT_02/PrecoMKT_02)</f>
        <v>0.98</v>
      </c>
      <c r="E68" s="237">
        <f>IF(ISERROR(MargemBrutaMKT_03/PrecoMKT_03),"0",MargemBrutaMKT_03/PrecoMKT_03)</f>
        <v>0.88</v>
      </c>
      <c r="F68" s="237" t="str">
        <f>IF(ISERROR(MargemBrutaMKT_04/PrecoMKT_04),"0",MargemBrutaMKT_04/PrecoMKT_04)</f>
        <v>0</v>
      </c>
      <c r="G68" s="237" t="str">
        <f>IF(ISERROR(MargemBrutaMKT_05/PrecoMKT_05),"0",MargemBrutaMKT_05/PrecoMKT_05)</f>
        <v>0</v>
      </c>
      <c r="H68" s="237" t="str">
        <f>IF(ISERROR(MargemBrutaMKT_06/PrecoMKT_06),"0",MargemBrutaMKT_06/PrecoMKT_06)</f>
        <v>0</v>
      </c>
      <c r="I68" s="237" t="str">
        <f>IF(ISERROR(MargemBrutaMKT_07/PrecoMKT_07),"0",MargemBrutaMKT_07/PrecoMKT_07)</f>
        <v>0</v>
      </c>
      <c r="J68" s="276" t="str">
        <f>IF(ISERROR(MargemBrutaMKT_08/PrecoMKT_08),"0",MargemBrutaMKT_08/PrecoMKT_08)</f>
        <v>0</v>
      </c>
      <c r="L68" s="3"/>
      <c r="M68" s="3"/>
      <c r="N68" s="3"/>
      <c r="O68" s="207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21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</row>
    <row r="69" spans="1:219" s="46" customFormat="1" ht="31.5" customHeight="1">
      <c r="A69" s="3"/>
      <c r="B69" s="260" t="s">
        <v>1177</v>
      </c>
      <c r="C69" s="236">
        <f>IF(ISERROR(PrecoMKT_01-SomaCustos_01),"0",PrecoMKT_01-SomaCustos_01)</f>
        <v>10200</v>
      </c>
      <c r="D69" s="236">
        <f>IF(ISERROR(PrecoMKT_02-SomaCustos_02),"0",PrecoMKT_02-SomaCustos_02)</f>
        <v>16660</v>
      </c>
      <c r="E69" s="236">
        <f>IF(ISERROR(PrecoMKT_03-SomaCustos_03),"0",PrecoMKT_03-SomaCustos_03)</f>
        <v>35200</v>
      </c>
      <c r="F69" s="236">
        <f>IF(ISERROR(PrecoMKT_04-SomaCustos_04),"0",PrecoMKT_04-SomaCustos_04)</f>
        <v>0</v>
      </c>
      <c r="G69" s="236">
        <f>IF(ISERROR(PrecoMKT_05-SomaCustos_05),"0",PrecoMKT_05-SomaCustos_05)</f>
        <v>0</v>
      </c>
      <c r="H69" s="236">
        <f>IF(ISERROR(PrecoMKT_06-SomaCustos_06),"0",PrecoMKT_06-SomaCustos_06)</f>
        <v>0</v>
      </c>
      <c r="I69" s="236">
        <f>IF(ISERROR(PrecoMKT_07-SomaCustos_07),"0",PrecoMKT_07-SomaCustos_07)</f>
        <v>0</v>
      </c>
      <c r="J69" s="275">
        <f>IF(ISERROR(PrecoMKT_08-SomaCustos_08),"0",PrecoMKT_08-SomaCustos_08)</f>
        <v>0</v>
      </c>
      <c r="L69" s="3"/>
      <c r="M69" s="3"/>
      <c r="N69" s="3"/>
      <c r="O69" s="207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21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</row>
    <row r="70" spans="1:219" s="46" customFormat="1" ht="31.5" customHeight="1" thickBot="1">
      <c r="A70" s="3"/>
      <c r="B70" s="263"/>
      <c r="C70" s="149"/>
      <c r="D70" s="149"/>
      <c r="E70" s="150"/>
      <c r="F70" s="150"/>
      <c r="G70" s="150"/>
      <c r="H70" s="150"/>
      <c r="I70" s="150"/>
      <c r="J70" s="277"/>
      <c r="L70" s="3"/>
      <c r="M70" s="3"/>
      <c r="N70" s="3"/>
      <c r="O70" s="207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21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</row>
    <row r="71" spans="1:219" ht="31.5" customHeight="1">
      <c r="B71" s="265" t="s">
        <v>1329</v>
      </c>
      <c r="C71" s="233">
        <f>IF(C15="PRODUTO",IF(ISERROR(+PrecoMKT_01/PRODUTO),"",+PrecoMKT_01/PRODUTO),IF(ISERROR(+PrecoMKT_01/SERVICO),"",+PrecoMKT_01/SERVICO))</f>
        <v>13223.140495867769</v>
      </c>
      <c r="D71" s="233">
        <f>IF(D15="PRODUTO",IF(ISERROR(+PrecoMKT_02/PRODUTO),"",+PrecoMKT_02/PRODUTO),IF(ISERROR(+PrecoMKT_02/SERVICO),"",+PrecoMKT_02/SERVICO))</f>
        <v>18732.782369146007</v>
      </c>
      <c r="E71" s="233">
        <f>IF(E15="PRODUTO",IF(ISERROR(+PrecoMKT_03/PRODUTO),"",+PrecoMKT_03/PRODUTO),IF(ISERROR(+PrecoMKT_03/SERVICO),"",+PrecoMKT_03/SERVICO))</f>
        <v>46647.230320699709</v>
      </c>
      <c r="F71" s="233">
        <f>IF(F15="PRODUTO",IF(ISERROR(+PrecoMKT_04/PRODUTO),"",+PrecoMKT_04/PRODUTO),IF(ISERROR(+PrecoMKT_04/SERVICO),"",+PrecoMKT_04/SERVICO))</f>
        <v>0</v>
      </c>
      <c r="G71" s="233">
        <f>IF(G15="PRODUTO",IF(ISERROR(+PrecoMKT_05/PRODUTO),"",+PrecoMKT_05/PRODUTO),IF(ISERROR(+PrecoMKT_05/SERVICO),"",+PrecoMKT_05/SERVICO))</f>
        <v>0</v>
      </c>
      <c r="H71" s="233">
        <f>IF(H15="PRODUTO",IF(ISERROR(+PrecoMKT_06/PRODUTO),"",+PrecoMKT_06/PRODUTO),IF(ISERROR(+PrecoMKT_06/SERVICO),"",+PrecoMKT_06/SERVICO))</f>
        <v>0</v>
      </c>
      <c r="I71" s="233">
        <f>IF(I15="PRODUTO",IF(ISERROR(+PrecoMKT_07/PRODUTO),"",+PrecoMKT_07/PRODUTO),IF(ISERROR(+PrecoMKT_07/SERVICO),"",+PrecoMKT_07/SERVICO))</f>
        <v>0</v>
      </c>
      <c r="J71" s="278">
        <f>IF(J15="PRODUTO",IF(ISERROR(+PrecoMKT_08/PRODUTO),"",+PrecoMKT_08/PRODUTO),IF(ISERROR(+PrecoMKT_08/SERVICO),"",+PrecoMKT_08/SERVICO))</f>
        <v>0</v>
      </c>
    </row>
    <row r="72" spans="1:219" ht="31.5" customHeight="1">
      <c r="B72" s="260" t="s">
        <v>1188</v>
      </c>
      <c r="C72" s="200">
        <v>13300</v>
      </c>
      <c r="D72" s="200">
        <v>19000</v>
      </c>
      <c r="E72" s="200">
        <v>47000</v>
      </c>
      <c r="F72" s="200">
        <v>0</v>
      </c>
      <c r="G72" s="200">
        <v>0</v>
      </c>
      <c r="H72" s="200">
        <v>0</v>
      </c>
      <c r="I72" s="200">
        <v>0</v>
      </c>
      <c r="J72" s="267">
        <v>0</v>
      </c>
    </row>
    <row r="73" spans="1:219" ht="31.5" customHeight="1" thickBot="1">
      <c r="B73" s="279" t="s">
        <v>1335</v>
      </c>
      <c r="C73" s="234">
        <f>IF(ISERROR(+ARREDONDAMENT0_01/TIRAGEM_01),"0",+ARREDONDAMENT0_01/TIRAGEM_01)</f>
        <v>1.33</v>
      </c>
      <c r="D73" s="234">
        <f>IF(ISERROR(+ARREDONDAMENT0_02/TIRAGEM_02),"0",+ARREDONDAMENT0_02/TIRAGEM_02)</f>
        <v>1.2666666666666666</v>
      </c>
      <c r="E73" s="234">
        <f>IF(ISERROR(+ARREDONDAMENT0_03/TIRAGEM_03),"0",+ARREDONDAMENT0_03/TIRAGEM_03)</f>
        <v>1.236842105263158</v>
      </c>
      <c r="F73" s="234">
        <f>IF(ISERROR(+ARREDONDAMENT0_04/TIRAGEM_04),"0",+ARREDONDAMENT0_04/TIRAGEM_04)</f>
        <v>0</v>
      </c>
      <c r="G73" s="234">
        <f>IF(ISERROR(+ARREDONDAMENT0_05/TIRAGEM_05),"0",+ARREDONDAMENT0_05/TIRAGEM_05)</f>
        <v>0</v>
      </c>
      <c r="H73" s="234">
        <f>IF(ISERROR(+ARREDONDAMENT0_06/TIRAGEM_06),"0",+ARREDONDAMENT0_06/TIRAGEM_06)</f>
        <v>0</v>
      </c>
      <c r="I73" s="234">
        <f>IF(ISERROR(+ARREDONDAMENT0_07/TIRAGEM_07),"0",+ARREDONDAMENT0_07/TIRAGEM_07)</f>
        <v>0</v>
      </c>
      <c r="J73" s="280">
        <f>IF(ISERROR(+ARREDONDAMENT0_08/TIRAGEM_08),"0",+ARREDONDAMENT0_08/TIRAGEM_08)</f>
        <v>0</v>
      </c>
    </row>
    <row r="74" spans="1:219" s="46" customFormat="1" ht="31.5" customHeight="1">
      <c r="A74" s="3"/>
      <c r="B74" s="263"/>
      <c r="C74" s="149"/>
      <c r="D74" s="149"/>
      <c r="E74" s="150"/>
      <c r="F74" s="150"/>
      <c r="G74" s="150"/>
      <c r="H74" s="150"/>
      <c r="I74" s="150"/>
      <c r="J74" s="277"/>
      <c r="L74" s="3"/>
      <c r="M74" s="3"/>
      <c r="N74" s="3"/>
      <c r="O74" s="207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21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</row>
    <row r="75" spans="1:219" ht="31.5" customHeight="1" thickBot="1">
      <c r="B75" s="268" t="s">
        <v>1334</v>
      </c>
      <c r="C75" s="281">
        <f>IF(ISERROR(PRECO_VENDA_GROSS_01*FASCICULOS_01),"",PRECO_VENDA_GROSS_01*FASCICULOS_01)</f>
        <v>132231.40495867768</v>
      </c>
      <c r="D75" s="281">
        <f>IF(ISERROR(PRECO_VENDA_GROSS_02*FASCICULOS_02),"",PRECO_VENDA_GROSS_02*FASCICULOS_02)</f>
        <v>37465.564738292014</v>
      </c>
      <c r="E75" s="281">
        <f>IF(ISERROR(PRECO_VENDA_GROSS_03*FASCICULOS_03),"",PRECO_VENDA_GROSS_03*FASCICULOS_03)</f>
        <v>139941.69096209912</v>
      </c>
      <c r="F75" s="281">
        <f>IF(ISERROR(PRECO_VENDA_GROSS_04*FASCICULOS_04),"",PRECO_VENDA_GROSS_04*FASCICULOS_04)</f>
        <v>0</v>
      </c>
      <c r="G75" s="281">
        <f>IF(ISERROR(PRECO_VENDA_GROSS_05*FASCICULOS_05),"",PRECO_VENDA_GROSS_05*FASCICULOS_05)</f>
        <v>0</v>
      </c>
      <c r="H75" s="281">
        <f>IF(ISERROR(PRECO_VENDA_GROSS_06*FASCICULOS_06),"",PRECO_VENDA_GROSS_06*FASCICULOS_06)</f>
        <v>0</v>
      </c>
      <c r="I75" s="281">
        <f>IF(ISERROR(PRECO_VENDA_GROSS_07*FASCICULOS_07),"",PRECO_VENDA_GROSS_07*FASCICULOS_07)</f>
        <v>0</v>
      </c>
      <c r="J75" s="282">
        <f>IF(ISERROR(PRECO_VENDA_GROSS_08*FASCICULOS_08),"",PRECO_VENDA_GROSS_08*FASCICULOS_08)</f>
        <v>0</v>
      </c>
    </row>
    <row r="76" spans="1:219" s="46" customFormat="1" ht="31.5" customHeight="1" thickTop="1">
      <c r="A76" s="3"/>
      <c r="B76" s="3"/>
      <c r="C76" s="149"/>
      <c r="D76" s="149"/>
      <c r="E76" s="150"/>
      <c r="F76" s="150"/>
      <c r="G76" s="151"/>
      <c r="H76" s="151"/>
      <c r="I76" s="151"/>
      <c r="J76" s="151"/>
      <c r="L76" s="3"/>
      <c r="M76" s="3"/>
      <c r="N76" s="3"/>
      <c r="O76" s="207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21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</row>
    <row r="77" spans="1:219" s="46" customFormat="1" ht="31.5" customHeight="1" thickBot="1">
      <c r="A77" s="3"/>
      <c r="B77" s="3"/>
      <c r="C77" s="149"/>
      <c r="D77" s="149"/>
      <c r="E77" s="150"/>
      <c r="F77" s="150"/>
      <c r="G77" s="151"/>
      <c r="H77" s="151"/>
      <c r="I77" s="151"/>
      <c r="J77" s="151"/>
      <c r="L77" s="3"/>
      <c r="M77" s="3"/>
      <c r="N77" s="3"/>
      <c r="O77" s="20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21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</row>
    <row r="78" spans="1:219" s="46" customFormat="1" ht="30.75" customHeight="1" thickBot="1">
      <c r="A78" s="3"/>
      <c r="B78" s="65" t="s">
        <v>1171</v>
      </c>
      <c r="C78" s="185" t="s">
        <v>1183</v>
      </c>
      <c r="D78" s="185" t="s">
        <v>1183</v>
      </c>
      <c r="E78" s="185" t="s">
        <v>1183</v>
      </c>
      <c r="F78" s="185" t="s">
        <v>1183</v>
      </c>
      <c r="G78" s="185" t="s">
        <v>1183</v>
      </c>
      <c r="H78" s="185" t="s">
        <v>1183</v>
      </c>
      <c r="I78" s="185" t="s">
        <v>1183</v>
      </c>
      <c r="J78" s="284" t="s">
        <v>1183</v>
      </c>
      <c r="L78" s="3"/>
      <c r="M78" s="3"/>
      <c r="N78" s="3"/>
      <c r="O78" s="207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21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</row>
    <row r="79" spans="1:219" s="46" customFormat="1" ht="30.75" customHeight="1" thickBot="1">
      <c r="A79" s="3"/>
      <c r="B79" s="285" t="s">
        <v>1332</v>
      </c>
      <c r="C79" s="232">
        <f>IF(ISERROR(PrecoMKT_01*(100%-DescontoPadrao_01)),"0",PrecoMKT_01*(100%-DescontoPadrao_01))</f>
        <v>11400</v>
      </c>
      <c r="D79" s="232">
        <f>IF(ISERROR(PrecoMKT_02*(100%-DescontoPadrao_02)),"0",PrecoMKT_02*(100%-DescontoPadrao_02))</f>
        <v>16150</v>
      </c>
      <c r="E79" s="232">
        <f>IF(ISERROR(PrecoMKT_03*(100%-DescontoPadrao_03)),"0",PrecoMKT_03*(100%-DescontoPadrao_03))</f>
        <v>38000</v>
      </c>
      <c r="F79" s="232">
        <f>IF(ISERROR(PrecoMKT_04*(100%-DescontoPadrao_04)),"0",PrecoMKT_04*(100%-DescontoPadrao_04))</f>
        <v>0</v>
      </c>
      <c r="G79" s="232">
        <f>IF(ISERROR(PrecoMKT_05*(100%-DescontoPadrao_05)),"0",PrecoMKT_05*(100%-DescontoPadrao_05))</f>
        <v>0</v>
      </c>
      <c r="H79" s="232">
        <f>IF(ISERROR(PrecoMKT_06*(100%-DescontoPadrao_06)),"0",PrecoMKT_06*(100%-DescontoPadrao_06))</f>
        <v>0</v>
      </c>
      <c r="I79" s="232">
        <f>IF(ISERROR(PrecoMKT_07*(100%-DescontoPadrao_07)),"0",PrecoMKT_07*(100%-DescontoPadrao_07))</f>
        <v>0</v>
      </c>
      <c r="J79" s="286">
        <f>IF(ISERROR(PrecoMKT_08*(100%-DescontoPadrao_08)),"0",PrecoMKT_08*(100%-DescontoPadrao_08))</f>
        <v>0</v>
      </c>
      <c r="L79" s="3"/>
      <c r="M79" s="3"/>
      <c r="N79" s="3"/>
      <c r="O79" s="207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21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</row>
    <row r="80" spans="1:219" s="46" customFormat="1" ht="30.75" customHeight="1" thickBot="1">
      <c r="A80" s="3"/>
      <c r="B80" s="65" t="s">
        <v>1172</v>
      </c>
      <c r="C80" s="184" t="s">
        <v>1131</v>
      </c>
      <c r="D80" s="184" t="s">
        <v>1131</v>
      </c>
      <c r="E80" s="184" t="s">
        <v>1131</v>
      </c>
      <c r="F80" s="184" t="s">
        <v>1131</v>
      </c>
      <c r="G80" s="184" t="s">
        <v>1131</v>
      </c>
      <c r="H80" s="184" t="s">
        <v>1131</v>
      </c>
      <c r="I80" s="184" t="s">
        <v>1131</v>
      </c>
      <c r="J80" s="287" t="s">
        <v>1131</v>
      </c>
      <c r="L80" s="3"/>
      <c r="M80" s="3"/>
      <c r="N80" s="3"/>
      <c r="O80" s="207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21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</row>
    <row r="81" spans="1:219" s="46" customFormat="1" ht="30.75" customHeight="1">
      <c r="A81" s="3"/>
      <c r="B81" s="288" t="s">
        <v>1174</v>
      </c>
      <c r="C81" s="229">
        <f>IF(ISERROR(+(PrecoDeCompras_01-SomaCustos_01)/PrecoDeCompras_01),"0",+(PrecoDeCompras_01-SomaCustos_01)/PrecoDeCompras_01)</f>
        <v>0.84210526315789469</v>
      </c>
      <c r="D81" s="229">
        <f>IF(ISERROR(+(PrecoDeCompras_02-SomaCustos_02)/PrecoDeCompras_02),"0",+(PrecoDeCompras_02-SomaCustos_02)/PrecoDeCompras_02)</f>
        <v>0.97894736842105268</v>
      </c>
      <c r="E81" s="229">
        <f>IF(ISERROR(+(PrecoDeCompras_03-SomaCustos_03)/PrecoDeCompras_03),"0",+(PrecoDeCompras_03-SomaCustos_03)/PrecoDeCompras_03)</f>
        <v>0.87368421052631584</v>
      </c>
      <c r="F81" s="229" t="str">
        <f>IF(ISERROR(+(PrecoDeCompras_04-SomaCustos_04)/PrecoDeCompras_04),"0",+(PrecoDeCompras_04-SomaCustos_04)/PrecoDeCompras_04)</f>
        <v>0</v>
      </c>
      <c r="G81" s="229" t="str">
        <f>IF(ISERROR(+(PrecoDeCompras_05-SomaCustos_05)/PrecoDeCompras_05),"0",+(PrecoDeCompras_05-SomaCustos_05)/PrecoDeCompras_05)</f>
        <v>0</v>
      </c>
      <c r="H81" s="229" t="str">
        <f>IF(ISERROR(+(PrecoDeCompras_06-SomaCustos_06)/PrecoDeCompras_06),"0",+(PrecoDeCompras_06-SomaCustos_06)/PrecoDeCompras_06)</f>
        <v>0</v>
      </c>
      <c r="I81" s="229" t="str">
        <f>IF(ISERROR(+(PrecoDeCompras_07-SomaCustos_07)/PrecoDeCompras_07),"0",+(PrecoDeCompras_07-SomaCustos_07)/PrecoDeCompras_07)</f>
        <v>0</v>
      </c>
      <c r="J81" s="289" t="str">
        <f>IF(ISERROR(+(PrecoDeCompras_08-SomaCustos_08)/PrecoDeCompras_08),"0",+(PrecoDeCompras_08-SomaCustos_08)/PrecoDeCompras_08)</f>
        <v>0</v>
      </c>
      <c r="L81" s="3"/>
      <c r="M81" s="3"/>
      <c r="N81" s="3"/>
      <c r="O81" s="207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21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</row>
    <row r="82" spans="1:219" s="46" customFormat="1" ht="30.75" customHeight="1">
      <c r="A82" s="3"/>
      <c r="B82" s="92" t="s">
        <v>1175</v>
      </c>
      <c r="C82" s="230">
        <f>IF(ISERROR(PrecoDeCompras_01/TIRAGEM_01),"0",PrecoDeCompras_01/TIRAGEM_01)</f>
        <v>1.1399999999999999</v>
      </c>
      <c r="D82" s="230">
        <f>IF(ISERROR(PrecoDeCompras_02/TIRAGEM_02),"0",PrecoDeCompras_02/TIRAGEM_02)</f>
        <v>1.0766666666666667</v>
      </c>
      <c r="E82" s="230">
        <f>IF(ISERROR(PrecoDeCompras_03/TIRAGEM_03),"0",PrecoDeCompras_03/TIRAGEM_03)</f>
        <v>1</v>
      </c>
      <c r="F82" s="230">
        <f>IF(ISERROR(PrecoDeCompras_04/TIRAGEM_04),"0",PrecoDeCompras_04/TIRAGEM_04)</f>
        <v>0</v>
      </c>
      <c r="G82" s="230">
        <f>IF(ISERROR(PrecoDeCompras_05/TIRAGEM_05),"0",PrecoDeCompras_05/TIRAGEM_05)</f>
        <v>0</v>
      </c>
      <c r="H82" s="230">
        <f>IF(ISERROR(PrecoDeCompras_06/TIRAGEM_06),"0",PrecoDeCompras_06/TIRAGEM_06)</f>
        <v>0</v>
      </c>
      <c r="I82" s="230">
        <f>IF(ISERROR(PrecoDeCompras_07/TIRAGEM_07),"0",PrecoDeCompras_07/TIRAGEM_07)</f>
        <v>0</v>
      </c>
      <c r="J82" s="290">
        <f>IF(ISERROR(PrecoDeCompras_08/TIRAGEM_08),"0",PrecoDeCompras_08/TIRAGEM_08)</f>
        <v>0</v>
      </c>
      <c r="L82" s="3"/>
      <c r="M82" s="3"/>
      <c r="N82" s="3"/>
      <c r="O82" s="207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21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</row>
    <row r="83" spans="1:219" s="46" customFormat="1" ht="30.75" customHeight="1">
      <c r="A83" s="3"/>
      <c r="B83" s="92" t="s">
        <v>1176</v>
      </c>
      <c r="C83" s="231">
        <f>IF(ISERROR(+(PrecoDeCompras_01/PrecoMKT_01)-1),"0",+(PrecoDeCompras_01/PrecoMKT_01)-1)</f>
        <v>-5.0000000000000044E-2</v>
      </c>
      <c r="D83" s="231">
        <f>IF(ISERROR(+(PrecoDeCompras_02/PrecoMKT_02)-1),"0",+(PrecoDeCompras_02/PrecoMKT_02)-1)</f>
        <v>-5.0000000000000044E-2</v>
      </c>
      <c r="E83" s="231">
        <f>IF(ISERROR(+(PrecoDeCompras_03/PrecoMKT_03)-1),"0",+(PrecoDeCompras_03/PrecoMKT_03)-1)</f>
        <v>-5.0000000000000044E-2</v>
      </c>
      <c r="F83" s="231" t="str">
        <f>IF(ISERROR(+(PrecoDeCompras_04/PrecoMKT_04)-1),"0",+(PrecoDeCompras_04/PrecoMKT_04)-1)</f>
        <v>0</v>
      </c>
      <c r="G83" s="231" t="str">
        <f>IF(ISERROR(+(PrecoDeCompras_05/PrecoMKT_05)-1),"0",+(PrecoDeCompras_05/PrecoMKT_05)-1)</f>
        <v>0</v>
      </c>
      <c r="H83" s="231" t="str">
        <f>IF(ISERROR(+(PrecoDeCompras_06/PrecoMKT_06)-1),"0",+(PrecoDeCompras_06/PrecoMKT_06)-1)</f>
        <v>0</v>
      </c>
      <c r="I83" s="231" t="str">
        <f>IF(ISERROR(+(PrecoDeCompras_07/PrecoMKT_07)-1),"0",+(PrecoDeCompras_07/PrecoMKT_07)-1)</f>
        <v>0</v>
      </c>
      <c r="J83" s="291" t="str">
        <f>IF(ISERROR(+(PrecoDeCompras_08/PrecoMKT_08)-1),"0",+(PrecoDeCompras_08/PrecoMKT_08)-1)</f>
        <v>0</v>
      </c>
      <c r="L83" s="3"/>
      <c r="M83" s="3"/>
      <c r="N83" s="3"/>
      <c r="O83" s="207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21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</row>
    <row r="84" spans="1:219" s="46" customFormat="1" ht="30.75" customHeight="1">
      <c r="A84" s="3"/>
      <c r="B84" s="92" t="s">
        <v>1177</v>
      </c>
      <c r="C84" s="230">
        <f>IF(ISERROR(PrecoTotal_01-SomaCustos_01),"0",PrecoTotal_01-SomaCustos_01)</f>
        <v>-1800</v>
      </c>
      <c r="D84" s="230">
        <f>IF(ISERROR(PrecoTotal_02-SomaCustos_02),"0",PrecoTotal_02-SomaCustos_02)</f>
        <v>-340</v>
      </c>
      <c r="E84" s="230">
        <f>IF(ISERROR(PrecoTotal_03-SomaCustos_03),"0",PrecoTotal_03-SomaCustos_03)</f>
        <v>-4800</v>
      </c>
      <c r="F84" s="230">
        <f>IF(ISERROR(PrecoTotal_04-SomaCustos_04),"0",PrecoTotal_04-SomaCustos_04)</f>
        <v>0</v>
      </c>
      <c r="G84" s="230">
        <f>IF(ISERROR(PrecoTotal_05-SomaCustos_05),"0",PrecoTotal_05-SomaCustos_05)</f>
        <v>0</v>
      </c>
      <c r="H84" s="230">
        <f>IF(ISERROR(PrecoTotal_06-SomaCustos_06),"0",PrecoTotal_06-SomaCustos_06)</f>
        <v>0</v>
      </c>
      <c r="I84" s="230">
        <f>IF(ISERROR(PrecoTotal_07-SomaCustos_07),"0",PrecoTotal_07-SomaCustos_07)</f>
        <v>0</v>
      </c>
      <c r="J84" s="290">
        <f>IF(ISERROR(PrecoTotal_08-SomaCustos_08),"0",PrecoTotal_08-SomaCustos_08)</f>
        <v>0</v>
      </c>
      <c r="L84" s="3"/>
      <c r="M84" s="3"/>
      <c r="N84" s="3"/>
      <c r="O84" s="207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21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</row>
    <row r="85" spans="1:219" s="46" customFormat="1" ht="31.5" customHeight="1" thickBot="1">
      <c r="A85" s="3"/>
      <c r="B85" s="292"/>
      <c r="C85" s="152"/>
      <c r="D85" s="152"/>
      <c r="E85" s="153"/>
      <c r="F85" s="153"/>
      <c r="G85" s="153"/>
      <c r="H85" s="153"/>
      <c r="I85" s="153"/>
      <c r="J85" s="293"/>
      <c r="L85" s="3"/>
      <c r="M85" s="3"/>
      <c r="N85" s="3"/>
      <c r="O85" s="207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21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</row>
    <row r="86" spans="1:219" ht="31.5" customHeight="1">
      <c r="B86" s="89" t="s">
        <v>1328</v>
      </c>
      <c r="C86" s="228">
        <f>IF(C23="PRODUTO",IF(ISERROR(+PrecoMKT_01/PRODUTO),"",+PrecoMKT_01/PRODUTO),IF(ISERROR(+PrecoMKT_01/SERVICO),"",+PrecoMKT_01/SERVICO))</f>
        <v>13994.169096209911</v>
      </c>
      <c r="D86" s="228">
        <f>IF(D23="PRODUTO",IF(ISERROR(+PrecoMKT_02/PRODUTO),"",+PrecoMKT_02/PRODUTO),IF(ISERROR(+PrecoMKT_02/SERVICO),"",+PrecoMKT_02/SERVICO))</f>
        <v>19825.072886297374</v>
      </c>
      <c r="E86" s="228">
        <f>IF(E23="PRODUTO",IF(ISERROR(+PrecoMKT_03/PRODUTO),"",+PrecoMKT_03/PRODUTO),IF(ISERROR(+PrecoMKT_03/SERVICO),"",+PrecoMKT_03/SERVICO))</f>
        <v>46647.230320699709</v>
      </c>
      <c r="F86" s="228">
        <f>IF(F23="PRODUTO",IF(ISERROR(+PrecoMKT_04/PRODUTO),"",+PrecoMKT_04/PRODUTO),IF(ISERROR(+PrecoMKT_04/SERVICO),"",+PrecoMKT_04/SERVICO))</f>
        <v>0</v>
      </c>
      <c r="G86" s="228">
        <f>IF(G23="PRODUTO",IF(ISERROR(+PrecoMKT_05/PRODUTO),"",+PrecoMKT_05/PRODUTO),IF(ISERROR(+PrecoMKT_05/SERVICO),"",+PrecoMKT_05/SERVICO))</f>
        <v>0</v>
      </c>
      <c r="H86" s="228">
        <f>IF(H23="PRODUTO",IF(ISERROR(+PrecoMKT_06/PRODUTO),"",+PrecoMKT_06/PRODUTO),IF(ISERROR(+PrecoMKT_06/SERVICO),"",+PrecoMKT_06/SERVICO))</f>
        <v>0</v>
      </c>
      <c r="I86" s="228">
        <f>IF(I23="PRODUTO",IF(ISERROR(+PrecoMKT_07/PRODUTO),"",+PrecoMKT_07/PRODUTO),IF(ISERROR(+PrecoMKT_07/SERVICO),"",+PrecoMKT_07/SERVICO))</f>
        <v>0</v>
      </c>
      <c r="J86" s="294">
        <f>IF(J23="PRODUTO",IF(ISERROR(+PrecoMKT_08/PRODUTO),"",+PrecoMKT_08/PRODUTO),IF(ISERROR(+PrecoMKT_08/SERVICO),"",+PrecoMKT_08/SERVICO))</f>
        <v>0</v>
      </c>
    </row>
    <row r="87" spans="1:219" ht="31.5" customHeight="1">
      <c r="B87" s="92" t="s">
        <v>1188</v>
      </c>
      <c r="C87" s="200">
        <v>0</v>
      </c>
      <c r="D87" s="200">
        <v>0</v>
      </c>
      <c r="E87" s="200">
        <v>0</v>
      </c>
      <c r="F87" s="200">
        <v>0</v>
      </c>
      <c r="G87" s="200">
        <v>0</v>
      </c>
      <c r="H87" s="200">
        <v>0</v>
      </c>
      <c r="I87" s="200">
        <v>0</v>
      </c>
      <c r="J87" s="295">
        <v>0</v>
      </c>
    </row>
    <row r="88" spans="1:219" ht="31.5" customHeight="1" thickBot="1">
      <c r="B88" s="296" t="s">
        <v>1330</v>
      </c>
      <c r="C88" s="269">
        <f>IF(ISERROR(+ARREDONDAMENT0_01/TIRAGEM_01),"0",+ARREDONDAMENT0_01/TIRAGEM_01)</f>
        <v>1.33</v>
      </c>
      <c r="D88" s="269">
        <f>IF(ISERROR(+ARREDONDAMENT0_02/TIRAGEM_02),"0",+ARREDONDAMENT0_02/TIRAGEM_02)</f>
        <v>1.2666666666666666</v>
      </c>
      <c r="E88" s="269">
        <f>IF(ISERROR(+ARREDONDAMENT0_03/TIRAGEM_03),"0",+ARREDONDAMENT0_03/TIRAGEM_03)</f>
        <v>1.236842105263158</v>
      </c>
      <c r="F88" s="269">
        <f>IF(ISERROR(+ARREDONDAMENT0_04/TIRAGEM_04),"0",+ARREDONDAMENT0_04/TIRAGEM_04)</f>
        <v>0</v>
      </c>
      <c r="G88" s="269">
        <f>IF(ISERROR(+ARREDONDAMENT0_05/TIRAGEM_05),"0",+ARREDONDAMENT0_05/TIRAGEM_05)</f>
        <v>0</v>
      </c>
      <c r="H88" s="269">
        <f>IF(ISERROR(+ARREDONDAMENT0_06/TIRAGEM_06),"0",+ARREDONDAMENT0_06/TIRAGEM_06)</f>
        <v>0</v>
      </c>
      <c r="I88" s="269">
        <f>IF(ISERROR(+ARREDONDAMENT0_07/TIRAGEM_07),"0",+ARREDONDAMENT0_07/TIRAGEM_07)</f>
        <v>0</v>
      </c>
      <c r="J88" s="297">
        <f>IF(ISERROR(+ARREDONDAMENT0_08/TIRAGEM_08),"0",+ARREDONDAMENT0_08/TIRAGEM_08)</f>
        <v>0</v>
      </c>
    </row>
    <row r="89" spans="1:219" s="46" customFormat="1" ht="31.5" customHeight="1" thickTop="1">
      <c r="A89" s="3"/>
      <c r="B89" s="292"/>
      <c r="C89" s="152"/>
      <c r="D89" s="152"/>
      <c r="E89" s="153"/>
      <c r="F89" s="153"/>
      <c r="G89" s="153"/>
      <c r="H89" s="153"/>
      <c r="I89" s="153"/>
      <c r="J89" s="293"/>
      <c r="L89" s="3"/>
      <c r="M89" s="3"/>
      <c r="N89" s="3"/>
      <c r="O89" s="207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21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</row>
    <row r="90" spans="1:219" ht="31.5" customHeight="1" thickBot="1">
      <c r="B90" s="93" t="s">
        <v>1333</v>
      </c>
      <c r="C90" s="298">
        <f>IF(ISERROR(PRECO_VENDA_GROSS_01*FASCICULOS_01),"",PRECO_VENDA_GROSS_01*FASCICULOS_01)</f>
        <v>132231.40495867768</v>
      </c>
      <c r="D90" s="298">
        <f>IF(ISERROR(PRECO_VENDA_GROSS_02*FASCICULOS_02),"",PRECO_VENDA_GROSS_02*FASCICULOS_02)</f>
        <v>37465.564738292014</v>
      </c>
      <c r="E90" s="298">
        <f>IF(ISERROR(PRECO_VENDA_GROSS_03*FASCICULOS_03),"",PRECO_VENDA_GROSS_03*FASCICULOS_03)</f>
        <v>139941.69096209912</v>
      </c>
      <c r="F90" s="298">
        <f>IF(ISERROR(PRECO_VENDA_GROSS_04*FASCICULOS_04),"",PRECO_VENDA_GROSS_04*FASCICULOS_04)</f>
        <v>0</v>
      </c>
      <c r="G90" s="298">
        <f>IF(ISERROR(PRECO_VENDA_GROSS_05*FASCICULOS_05),"",PRECO_VENDA_GROSS_05*FASCICULOS_05)</f>
        <v>0</v>
      </c>
      <c r="H90" s="298">
        <f>IF(ISERROR(PRECO_VENDA_GROSS_06*FASCICULOS_06),"",PRECO_VENDA_GROSS_06*FASCICULOS_06)</f>
        <v>0</v>
      </c>
      <c r="I90" s="298">
        <f>IF(ISERROR(PRECO_VENDA_GROSS_07*FASCICULOS_07),"",PRECO_VENDA_GROSS_07*FASCICULOS_07)</f>
        <v>0</v>
      </c>
      <c r="J90" s="299">
        <f>IF(ISERROR(PRECO_VENDA_GROSS_08*FASCICULOS_08),"",PRECO_VENDA_GROSS_08*FASCICULOS_08)</f>
        <v>0</v>
      </c>
    </row>
    <row r="91" spans="1:219" s="46" customFormat="1" ht="31.5" customHeight="1">
      <c r="A91" s="3"/>
      <c r="B91" s="3"/>
      <c r="C91" s="152"/>
      <c r="D91" s="152"/>
      <c r="E91" s="153"/>
      <c r="F91" s="153"/>
      <c r="G91" s="154"/>
      <c r="H91" s="154"/>
      <c r="I91" s="154"/>
      <c r="J91" s="154"/>
      <c r="L91" s="3"/>
      <c r="M91" s="3"/>
      <c r="N91" s="3"/>
      <c r="O91" s="207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21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</row>
    <row r="92" spans="1:219" s="46" customFormat="1" ht="31.5" customHeight="1">
      <c r="A92" s="3"/>
      <c r="B92" s="3"/>
      <c r="C92" s="152"/>
      <c r="D92" s="152"/>
      <c r="E92" s="153"/>
      <c r="F92" s="153"/>
      <c r="G92" s="154"/>
      <c r="H92" s="154"/>
      <c r="I92" s="154"/>
      <c r="J92" s="154"/>
      <c r="L92" s="3"/>
      <c r="M92" s="3"/>
      <c r="N92" s="3"/>
      <c r="O92" s="207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21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</row>
    <row r="93" spans="1:219" s="46" customFormat="1" ht="30.75" customHeight="1">
      <c r="A93" s="3"/>
      <c r="B93" s="79" t="s">
        <v>1190</v>
      </c>
      <c r="C93" s="250">
        <v>0.90749999999999997</v>
      </c>
      <c r="D93" s="152"/>
      <c r="E93" s="153"/>
      <c r="F93" s="153"/>
      <c r="G93" s="154"/>
      <c r="H93" s="154"/>
      <c r="I93" s="154"/>
      <c r="J93" s="154"/>
      <c r="L93" s="3"/>
      <c r="M93" s="3"/>
      <c r="N93" s="3"/>
      <c r="O93" s="207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21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</row>
    <row r="94" spans="1:219" s="46" customFormat="1" ht="30.75" customHeight="1">
      <c r="A94" s="3"/>
      <c r="B94" s="79" t="s">
        <v>1191</v>
      </c>
      <c r="C94" s="250">
        <v>0.85750000000000004</v>
      </c>
      <c r="D94" s="149"/>
      <c r="E94" s="150"/>
      <c r="F94" s="150"/>
      <c r="G94" s="151"/>
      <c r="H94" s="151"/>
      <c r="I94" s="151"/>
      <c r="J94" s="151"/>
      <c r="L94" s="3"/>
      <c r="M94" s="3"/>
      <c r="N94" s="3"/>
      <c r="O94" s="207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21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</row>
    <row r="95" spans="1:219" ht="31.5" customHeight="1">
      <c r="C95" s="149"/>
      <c r="D95" s="149"/>
      <c r="E95" s="150"/>
      <c r="F95" s="150"/>
      <c r="G95" s="151"/>
      <c r="H95" s="151"/>
      <c r="I95" s="151"/>
      <c r="J95" s="151"/>
    </row>
    <row r="99" spans="3:10" ht="31.5" customHeight="1">
      <c r="C99" s="149"/>
      <c r="D99" s="149"/>
      <c r="E99" s="150"/>
      <c r="F99" s="150"/>
      <c r="G99" s="151"/>
      <c r="H99" s="151"/>
      <c r="I99" s="151"/>
      <c r="J99" s="151"/>
    </row>
    <row r="1048522" spans="1:219" s="19" customFormat="1">
      <c r="A1048522" s="3"/>
      <c r="B1048522" s="31" t="s">
        <v>1129</v>
      </c>
      <c r="E1048522" s="3"/>
      <c r="F1048522" s="3"/>
      <c r="G1048522" s="13"/>
      <c r="H1048522" s="13"/>
      <c r="I1048522" s="13"/>
      <c r="J1048522" s="13"/>
      <c r="K1048522" s="46"/>
      <c r="L1048522" s="3"/>
      <c r="M1048522" s="3"/>
      <c r="N1048522" s="3"/>
      <c r="O1048522" s="207"/>
      <c r="P1048522" s="3"/>
      <c r="Q1048522" s="3"/>
      <c r="R1048522" s="3"/>
      <c r="S1048522" s="3"/>
      <c r="T1048522" s="3"/>
      <c r="U1048522" s="3"/>
      <c r="V1048522" s="3"/>
      <c r="W1048522" s="3"/>
      <c r="X1048522" s="3"/>
      <c r="Y1048522" s="3"/>
      <c r="Z1048522" s="3"/>
      <c r="AA1048522" s="3"/>
      <c r="AB1048522" s="3"/>
      <c r="AC1048522" s="3"/>
      <c r="AD1048522" s="3"/>
      <c r="AE1048522" s="3"/>
      <c r="AF1048522" s="3"/>
      <c r="AG1048522" s="3"/>
      <c r="AH1048522" s="3"/>
      <c r="AI1048522" s="3"/>
      <c r="AJ1048522" s="3"/>
      <c r="AK1048522" s="3"/>
      <c r="AL1048522" s="3"/>
      <c r="AM1048522" s="3"/>
      <c r="AN1048522" s="3"/>
      <c r="AO1048522" s="3"/>
      <c r="AP1048522" s="3"/>
      <c r="AQ1048522" s="3"/>
      <c r="AR1048522" s="321"/>
      <c r="AS1048522" s="3"/>
      <c r="AT1048522" s="3"/>
      <c r="AU1048522" s="3"/>
      <c r="AV1048522" s="3"/>
      <c r="AW1048522" s="3"/>
      <c r="AX1048522" s="3"/>
      <c r="AY1048522" s="3"/>
      <c r="AZ1048522" s="3"/>
      <c r="BA1048522" s="3"/>
      <c r="BB1048522" s="3"/>
      <c r="BC1048522" s="3"/>
      <c r="BD1048522" s="3"/>
      <c r="BE1048522" s="3"/>
      <c r="BF1048522" s="3"/>
      <c r="BG1048522" s="3"/>
      <c r="BH1048522" s="3"/>
      <c r="BI1048522" s="3"/>
      <c r="BJ1048522" s="3"/>
      <c r="BK1048522" s="3"/>
      <c r="BL1048522" s="3"/>
      <c r="BM1048522" s="3"/>
      <c r="BN1048522" s="3"/>
      <c r="BO1048522" s="3"/>
      <c r="BP1048522" s="3"/>
      <c r="BQ1048522" s="3"/>
      <c r="BR1048522" s="3"/>
      <c r="BS1048522" s="3"/>
      <c r="BT1048522" s="3"/>
      <c r="BU1048522" s="3"/>
      <c r="BV1048522" s="3"/>
      <c r="BW1048522" s="3"/>
      <c r="BX1048522" s="3"/>
      <c r="BY1048522" s="3"/>
      <c r="BZ1048522" s="3"/>
      <c r="CA1048522" s="3"/>
      <c r="CB1048522" s="3"/>
      <c r="CC1048522" s="3"/>
      <c r="CD1048522" s="3"/>
      <c r="CE1048522" s="3"/>
      <c r="CF1048522" s="3"/>
      <c r="CG1048522" s="3"/>
      <c r="CH1048522" s="3"/>
      <c r="CI1048522" s="3"/>
      <c r="CJ1048522" s="3"/>
      <c r="CK1048522" s="3"/>
      <c r="CL1048522" s="3"/>
      <c r="CM1048522" s="3"/>
      <c r="CN1048522" s="3"/>
      <c r="CO1048522" s="3"/>
      <c r="CP1048522" s="3"/>
      <c r="CQ1048522" s="3"/>
      <c r="CR1048522" s="3"/>
      <c r="CS1048522" s="3"/>
      <c r="CT1048522" s="3"/>
      <c r="CU1048522" s="3"/>
      <c r="CV1048522" s="3"/>
      <c r="CW1048522" s="3"/>
      <c r="CX1048522" s="3"/>
      <c r="CY1048522" s="3"/>
      <c r="CZ1048522" s="3"/>
      <c r="DA1048522" s="3"/>
      <c r="DB1048522" s="3"/>
      <c r="DC1048522" s="3"/>
      <c r="DD1048522" s="3"/>
      <c r="DE1048522" s="3"/>
      <c r="DF1048522" s="3"/>
      <c r="DG1048522" s="3"/>
      <c r="DH1048522" s="3"/>
      <c r="DI1048522" s="3"/>
      <c r="DJ1048522" s="3"/>
      <c r="DK1048522" s="3"/>
      <c r="DL1048522" s="3"/>
      <c r="DM1048522" s="3"/>
      <c r="DN1048522" s="3"/>
      <c r="DO1048522" s="3"/>
      <c r="DP1048522" s="3"/>
      <c r="DQ1048522" s="3"/>
      <c r="DR1048522" s="3"/>
      <c r="DS1048522" s="3"/>
      <c r="DT1048522" s="3"/>
      <c r="DU1048522" s="3"/>
      <c r="DV1048522" s="3"/>
      <c r="DW1048522" s="3"/>
      <c r="DX1048522" s="3"/>
      <c r="DY1048522" s="3"/>
      <c r="DZ1048522" s="3"/>
      <c r="EA1048522" s="3"/>
      <c r="EB1048522" s="3"/>
      <c r="EC1048522" s="3"/>
      <c r="ED1048522" s="3"/>
      <c r="EE1048522" s="3"/>
      <c r="EF1048522" s="3"/>
      <c r="EG1048522" s="3"/>
      <c r="EH1048522" s="3"/>
      <c r="EI1048522" s="3"/>
      <c r="EJ1048522" s="3"/>
      <c r="EK1048522" s="3"/>
      <c r="EL1048522" s="3"/>
      <c r="EM1048522" s="3"/>
      <c r="EN1048522" s="3"/>
      <c r="EO1048522" s="3"/>
      <c r="EP1048522" s="3"/>
      <c r="EQ1048522" s="3"/>
      <c r="ER1048522" s="3"/>
      <c r="ES1048522" s="3"/>
      <c r="ET1048522" s="3"/>
      <c r="EU1048522" s="3"/>
      <c r="EV1048522" s="3"/>
      <c r="EW1048522" s="3"/>
      <c r="EX1048522" s="3"/>
      <c r="EY1048522" s="3"/>
      <c r="EZ1048522" s="3"/>
      <c r="FA1048522" s="3"/>
      <c r="FB1048522" s="3"/>
      <c r="FC1048522" s="3"/>
      <c r="FD1048522" s="3"/>
      <c r="FE1048522" s="3"/>
      <c r="FF1048522" s="3"/>
      <c r="FG1048522" s="3"/>
      <c r="FH1048522" s="3"/>
      <c r="FI1048522" s="3"/>
      <c r="FJ1048522" s="3"/>
      <c r="FK1048522" s="3"/>
      <c r="FL1048522" s="3"/>
      <c r="FM1048522" s="3"/>
      <c r="FN1048522" s="3"/>
      <c r="FO1048522" s="3"/>
      <c r="FP1048522" s="3"/>
      <c r="FQ1048522" s="3"/>
      <c r="FR1048522" s="3"/>
      <c r="FS1048522" s="3"/>
      <c r="FT1048522" s="3"/>
      <c r="FU1048522" s="3"/>
      <c r="FV1048522" s="3"/>
      <c r="FW1048522" s="3"/>
      <c r="FX1048522" s="3"/>
      <c r="FY1048522" s="3"/>
      <c r="FZ1048522" s="3"/>
      <c r="GA1048522" s="3"/>
      <c r="GB1048522" s="3"/>
      <c r="GC1048522" s="3"/>
      <c r="GD1048522" s="3"/>
      <c r="GE1048522" s="3"/>
      <c r="GF1048522" s="3"/>
      <c r="GG1048522" s="3"/>
      <c r="GH1048522" s="3"/>
      <c r="GI1048522" s="3"/>
      <c r="GJ1048522" s="3"/>
      <c r="GK1048522" s="3"/>
      <c r="GL1048522" s="3"/>
      <c r="GM1048522" s="3"/>
      <c r="GN1048522" s="3"/>
      <c r="GO1048522" s="3"/>
      <c r="GP1048522" s="3"/>
      <c r="GQ1048522" s="3"/>
      <c r="GR1048522" s="3"/>
      <c r="GS1048522" s="3"/>
      <c r="GT1048522" s="3"/>
      <c r="GU1048522" s="3"/>
      <c r="GV1048522" s="3"/>
      <c r="GW1048522" s="3"/>
      <c r="GX1048522" s="3"/>
      <c r="GY1048522" s="3"/>
      <c r="GZ1048522" s="3"/>
      <c r="HA1048522" s="3"/>
      <c r="HB1048522" s="3"/>
      <c r="HC1048522" s="3"/>
      <c r="HD1048522" s="3"/>
      <c r="HE1048522" s="3"/>
      <c r="HF1048522" s="3"/>
      <c r="HG1048522" s="3"/>
      <c r="HH1048522" s="3"/>
      <c r="HI1048522" s="3"/>
      <c r="HJ1048522" s="3"/>
      <c r="HK1048522" s="3"/>
    </row>
    <row r="1048523" spans="1:219" s="19" customFormat="1">
      <c r="A1048523" s="3"/>
      <c r="B1048523" s="31" t="s">
        <v>1128</v>
      </c>
      <c r="E1048523" s="3"/>
      <c r="F1048523" s="3"/>
      <c r="G1048523" s="13"/>
      <c r="H1048523" s="13"/>
      <c r="I1048523" s="13"/>
      <c r="J1048523" s="13"/>
      <c r="K1048523" s="46"/>
      <c r="L1048523" s="3"/>
      <c r="M1048523" s="3"/>
      <c r="N1048523" s="3"/>
      <c r="O1048523" s="207"/>
      <c r="P1048523" s="3"/>
      <c r="Q1048523" s="3"/>
      <c r="R1048523" s="3"/>
      <c r="S1048523" s="3"/>
      <c r="T1048523" s="3"/>
      <c r="U1048523" s="3"/>
      <c r="V1048523" s="3"/>
      <c r="W1048523" s="3"/>
      <c r="X1048523" s="3"/>
      <c r="Y1048523" s="3"/>
      <c r="Z1048523" s="3"/>
      <c r="AA1048523" s="3"/>
      <c r="AB1048523" s="3"/>
      <c r="AC1048523" s="3"/>
      <c r="AD1048523" s="3"/>
      <c r="AE1048523" s="3"/>
      <c r="AF1048523" s="3"/>
      <c r="AG1048523" s="3"/>
      <c r="AH1048523" s="3"/>
      <c r="AI1048523" s="3"/>
      <c r="AJ1048523" s="3"/>
      <c r="AK1048523" s="3"/>
      <c r="AL1048523" s="3"/>
      <c r="AM1048523" s="3"/>
      <c r="AN1048523" s="3"/>
      <c r="AO1048523" s="3"/>
      <c r="AP1048523" s="3"/>
      <c r="AQ1048523" s="3"/>
      <c r="AR1048523" s="321"/>
      <c r="AS1048523" s="3"/>
      <c r="AT1048523" s="3"/>
      <c r="AU1048523" s="3"/>
      <c r="AV1048523" s="3"/>
      <c r="AW1048523" s="3"/>
      <c r="AX1048523" s="3"/>
      <c r="AY1048523" s="3"/>
      <c r="AZ1048523" s="3"/>
      <c r="BA1048523" s="3"/>
      <c r="BB1048523" s="3"/>
      <c r="BC1048523" s="3"/>
      <c r="BD1048523" s="3"/>
      <c r="BE1048523" s="3"/>
      <c r="BF1048523" s="3"/>
      <c r="BG1048523" s="3"/>
      <c r="BH1048523" s="3"/>
      <c r="BI1048523" s="3"/>
      <c r="BJ1048523" s="3"/>
      <c r="BK1048523" s="3"/>
      <c r="BL1048523" s="3"/>
      <c r="BM1048523" s="3"/>
      <c r="BN1048523" s="3"/>
      <c r="BO1048523" s="3"/>
      <c r="BP1048523" s="3"/>
      <c r="BQ1048523" s="3"/>
      <c r="BR1048523" s="3"/>
      <c r="BS1048523" s="3"/>
      <c r="BT1048523" s="3"/>
      <c r="BU1048523" s="3"/>
      <c r="BV1048523" s="3"/>
      <c r="BW1048523" s="3"/>
      <c r="BX1048523" s="3"/>
      <c r="BY1048523" s="3"/>
      <c r="BZ1048523" s="3"/>
      <c r="CA1048523" s="3"/>
      <c r="CB1048523" s="3"/>
      <c r="CC1048523" s="3"/>
      <c r="CD1048523" s="3"/>
      <c r="CE1048523" s="3"/>
      <c r="CF1048523" s="3"/>
      <c r="CG1048523" s="3"/>
      <c r="CH1048523" s="3"/>
      <c r="CI1048523" s="3"/>
      <c r="CJ1048523" s="3"/>
      <c r="CK1048523" s="3"/>
      <c r="CL1048523" s="3"/>
      <c r="CM1048523" s="3"/>
      <c r="CN1048523" s="3"/>
      <c r="CO1048523" s="3"/>
      <c r="CP1048523" s="3"/>
      <c r="CQ1048523" s="3"/>
      <c r="CR1048523" s="3"/>
      <c r="CS1048523" s="3"/>
      <c r="CT1048523" s="3"/>
      <c r="CU1048523" s="3"/>
      <c r="CV1048523" s="3"/>
      <c r="CW1048523" s="3"/>
      <c r="CX1048523" s="3"/>
      <c r="CY1048523" s="3"/>
      <c r="CZ1048523" s="3"/>
      <c r="DA1048523" s="3"/>
      <c r="DB1048523" s="3"/>
      <c r="DC1048523" s="3"/>
      <c r="DD1048523" s="3"/>
      <c r="DE1048523" s="3"/>
      <c r="DF1048523" s="3"/>
      <c r="DG1048523" s="3"/>
      <c r="DH1048523" s="3"/>
      <c r="DI1048523" s="3"/>
      <c r="DJ1048523" s="3"/>
      <c r="DK1048523" s="3"/>
      <c r="DL1048523" s="3"/>
      <c r="DM1048523" s="3"/>
      <c r="DN1048523" s="3"/>
      <c r="DO1048523" s="3"/>
      <c r="DP1048523" s="3"/>
      <c r="DQ1048523" s="3"/>
      <c r="DR1048523" s="3"/>
      <c r="DS1048523" s="3"/>
      <c r="DT1048523" s="3"/>
      <c r="DU1048523" s="3"/>
      <c r="DV1048523" s="3"/>
      <c r="DW1048523" s="3"/>
      <c r="DX1048523" s="3"/>
      <c r="DY1048523" s="3"/>
      <c r="DZ1048523" s="3"/>
      <c r="EA1048523" s="3"/>
      <c r="EB1048523" s="3"/>
      <c r="EC1048523" s="3"/>
      <c r="ED1048523" s="3"/>
      <c r="EE1048523" s="3"/>
      <c r="EF1048523" s="3"/>
      <c r="EG1048523" s="3"/>
      <c r="EH1048523" s="3"/>
      <c r="EI1048523" s="3"/>
      <c r="EJ1048523" s="3"/>
      <c r="EK1048523" s="3"/>
      <c r="EL1048523" s="3"/>
      <c r="EM1048523" s="3"/>
      <c r="EN1048523" s="3"/>
      <c r="EO1048523" s="3"/>
      <c r="EP1048523" s="3"/>
      <c r="EQ1048523" s="3"/>
      <c r="ER1048523" s="3"/>
      <c r="ES1048523" s="3"/>
      <c r="ET1048523" s="3"/>
      <c r="EU1048523" s="3"/>
      <c r="EV1048523" s="3"/>
      <c r="EW1048523" s="3"/>
      <c r="EX1048523" s="3"/>
      <c r="EY1048523" s="3"/>
      <c r="EZ1048523" s="3"/>
      <c r="FA1048523" s="3"/>
      <c r="FB1048523" s="3"/>
      <c r="FC1048523" s="3"/>
      <c r="FD1048523" s="3"/>
      <c r="FE1048523" s="3"/>
      <c r="FF1048523" s="3"/>
      <c r="FG1048523" s="3"/>
      <c r="FH1048523" s="3"/>
      <c r="FI1048523" s="3"/>
      <c r="FJ1048523" s="3"/>
      <c r="FK1048523" s="3"/>
      <c r="FL1048523" s="3"/>
      <c r="FM1048523" s="3"/>
      <c r="FN1048523" s="3"/>
      <c r="FO1048523" s="3"/>
      <c r="FP1048523" s="3"/>
      <c r="FQ1048523" s="3"/>
      <c r="FR1048523" s="3"/>
      <c r="FS1048523" s="3"/>
      <c r="FT1048523" s="3"/>
      <c r="FU1048523" s="3"/>
      <c r="FV1048523" s="3"/>
      <c r="FW1048523" s="3"/>
      <c r="FX1048523" s="3"/>
      <c r="FY1048523" s="3"/>
      <c r="FZ1048523" s="3"/>
      <c r="GA1048523" s="3"/>
      <c r="GB1048523" s="3"/>
      <c r="GC1048523" s="3"/>
      <c r="GD1048523" s="3"/>
      <c r="GE1048523" s="3"/>
      <c r="GF1048523" s="3"/>
      <c r="GG1048523" s="3"/>
      <c r="GH1048523" s="3"/>
      <c r="GI1048523" s="3"/>
      <c r="GJ1048523" s="3"/>
      <c r="GK1048523" s="3"/>
      <c r="GL1048523" s="3"/>
      <c r="GM1048523" s="3"/>
      <c r="GN1048523" s="3"/>
      <c r="GO1048523" s="3"/>
      <c r="GP1048523" s="3"/>
      <c r="GQ1048523" s="3"/>
      <c r="GR1048523" s="3"/>
      <c r="GS1048523" s="3"/>
      <c r="GT1048523" s="3"/>
      <c r="GU1048523" s="3"/>
      <c r="GV1048523" s="3"/>
      <c r="GW1048523" s="3"/>
      <c r="GX1048523" s="3"/>
      <c r="GY1048523" s="3"/>
      <c r="GZ1048523" s="3"/>
      <c r="HA1048523" s="3"/>
      <c r="HB1048523" s="3"/>
      <c r="HC1048523" s="3"/>
      <c r="HD1048523" s="3"/>
      <c r="HE1048523" s="3"/>
      <c r="HF1048523" s="3"/>
      <c r="HG1048523" s="3"/>
      <c r="HH1048523" s="3"/>
      <c r="HI1048523" s="3"/>
      <c r="HJ1048523" s="3"/>
      <c r="HK1048523" s="3"/>
    </row>
  </sheetData>
  <dataConsolidate/>
  <mergeCells count="38">
    <mergeCell ref="C4:E4"/>
    <mergeCell ref="G4:H4"/>
    <mergeCell ref="I4:I7"/>
    <mergeCell ref="AL1:AP1"/>
    <mergeCell ref="B2:J2"/>
    <mergeCell ref="AL2:AP2"/>
    <mergeCell ref="C3:E3"/>
    <mergeCell ref="G3:H3"/>
    <mergeCell ref="W3:Z3"/>
    <mergeCell ref="B1:J1"/>
    <mergeCell ref="L1:N1"/>
    <mergeCell ref="P1:Q1"/>
    <mergeCell ref="S1:T1"/>
    <mergeCell ref="V1:Z1"/>
    <mergeCell ref="AD1:AI1"/>
    <mergeCell ref="J4:J7"/>
    <mergeCell ref="C5:H5"/>
    <mergeCell ref="AM28:AM29"/>
    <mergeCell ref="C8:J8"/>
    <mergeCell ref="C9:J9"/>
    <mergeCell ref="C10:J10"/>
    <mergeCell ref="AM10:AM11"/>
    <mergeCell ref="B11:J11"/>
    <mergeCell ref="AM13:AM14"/>
    <mergeCell ref="AM16:AM17"/>
    <mergeCell ref="AM19:AM20"/>
    <mergeCell ref="AM22:AM23"/>
    <mergeCell ref="B24:J24"/>
    <mergeCell ref="AM25:AM26"/>
    <mergeCell ref="B6:B7"/>
    <mergeCell ref="C6:H7"/>
    <mergeCell ref="B59:J59"/>
    <mergeCell ref="B30:J30"/>
    <mergeCell ref="B31:J31"/>
    <mergeCell ref="AM31:AM32"/>
    <mergeCell ref="B32:J32"/>
    <mergeCell ref="B33:J33"/>
    <mergeCell ref="B34:J34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4:E4">
      <formula1>CLIENTES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8:J8">
      <formula1>PUBLISHER</formula1>
    </dataValidation>
    <dataValidation type="list" allowBlank="1" sqref="C20:J20">
      <formula1>MOEDA</formula1>
    </dataValidation>
    <dataValidation type="list" allowBlank="1" sqref="C15:J15">
      <formula1>VENDAS</formula1>
    </dataValidation>
    <dataValidation allowBlank="1" showInputMessage="1" sqref="B24:J24"/>
    <dataValidation type="list" allowBlank="1" showInputMessage="1" showErrorMessage="1" sqref="B31:J31">
      <formula1>ACABAMENTO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13:J13">
      <formula1>LINHA</formula1>
    </dataValidation>
    <dataValidation type="whole" operator="greaterThanOrEqual" allowBlank="1" showInputMessage="1" showErrorMessage="1" errorTitle="Validar campo &quot;REVISÃO&quot;" error="Este campo deve ter valor maior ou igual a 0 &quot;Zero&quot;" sqref="HD3">
      <formula1>0</formula1>
    </dataValidation>
    <dataValidation type="list" allowBlank="1" sqref="GR20:GY20">
      <formula1>$P$3:$P$6</formula1>
    </dataValidation>
    <dataValidation type="list" allowBlank="1" sqref="GR15:GY15">
      <formula1>$S$3:$S$4</formula1>
    </dataValidation>
    <dataValidation type="list" allowBlank="1" sqref="GV5:GW5">
      <formula1>$L$3:$L$15</formula1>
    </dataValidation>
    <dataValidation type="list" allowBlank="1" errorTitle="Validação" error="Favor preencher conforme a lista!" sqref="GR8:GY9">
      <formula1>#REF!</formula1>
    </dataValidation>
    <dataValidation type="list" allowBlank="1" sqref="GY3 GR17:GY17 GQ31:GY31 GR25:GY29">
      <formula1>#REF!</formula1>
    </dataValidation>
    <dataValidation type="list" errorStyle="warning" errorTitle="Validação" error="Favor preencher conforme a lista!" sqref="GR4:GT4">
      <formula1>#REF!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AA857"/>
  <sheetViews>
    <sheetView zoomScale="62" zoomScaleNormal="62" workbookViewId="0">
      <pane ySplit="1" topLeftCell="A2" activePane="bottomLeft" state="frozen"/>
      <selection activeCell="C4" sqref="C4:E4"/>
      <selection pane="bottomLeft" activeCell="A2" sqref="A2"/>
    </sheetView>
  </sheetViews>
  <sheetFormatPr defaultRowHeight="15"/>
  <cols>
    <col min="1" max="1" width="77.85546875" style="22" bestFit="1" customWidth="1"/>
    <col min="2" max="2" width="62.5703125" style="22" bestFit="1" customWidth="1"/>
    <col min="3" max="3" width="30.28515625" style="22" bestFit="1" customWidth="1"/>
    <col min="4" max="4" width="78" style="22" bestFit="1" customWidth="1"/>
    <col min="5" max="5" width="13" style="22" bestFit="1" customWidth="1"/>
    <col min="6" max="6" width="28" style="22" bestFit="1" customWidth="1"/>
    <col min="7" max="7" width="29.42578125" style="22" bestFit="1" customWidth="1"/>
    <col min="8" max="8" width="13.5703125" style="22" bestFit="1" customWidth="1"/>
    <col min="9" max="9" width="15.140625" style="22" bestFit="1" customWidth="1"/>
    <col min="10" max="10" width="37.42578125" style="22" bestFit="1" customWidth="1"/>
    <col min="11" max="11" width="3.5703125" style="339" bestFit="1" customWidth="1"/>
    <col min="12" max="12" width="39.7109375" style="25" bestFit="1" customWidth="1"/>
    <col min="13" max="13" width="7.28515625" style="25" bestFit="1" customWidth="1"/>
    <col min="14" max="14" width="6.85546875" style="25" bestFit="1" customWidth="1"/>
    <col min="15" max="15" width="13.5703125" style="25" bestFit="1" customWidth="1"/>
    <col min="16" max="16" width="3.5703125" style="339" bestFit="1" customWidth="1"/>
    <col min="17" max="17" width="10.28515625" style="25" bestFit="1" customWidth="1"/>
    <col min="18" max="18" width="10.5703125" style="25" bestFit="1" customWidth="1"/>
    <col min="19" max="19" width="3.5703125" style="339" bestFit="1" customWidth="1"/>
    <col min="20" max="20" width="12.28515625" style="25" bestFit="1" customWidth="1"/>
    <col min="21" max="21" width="9.140625" style="25"/>
    <col min="22" max="22" width="3.5703125" style="339" bestFit="1" customWidth="1"/>
    <col min="23" max="23" width="24.85546875" style="25" bestFit="1" customWidth="1"/>
    <col min="24" max="24" width="16.5703125" style="25" bestFit="1" customWidth="1"/>
    <col min="25" max="25" width="24.140625" style="25" customWidth="1"/>
    <col min="26" max="26" width="10.7109375" style="25" bestFit="1" customWidth="1"/>
    <col min="27" max="27" width="14.140625" style="25" bestFit="1" customWidth="1"/>
    <col min="28" max="16384" width="9.140625" style="25"/>
  </cols>
  <sheetData>
    <row r="1" spans="1:27" s="344" customFormat="1" ht="48" customHeight="1">
      <c r="A1" s="340" t="s">
        <v>602</v>
      </c>
      <c r="B1" s="340" t="s">
        <v>600</v>
      </c>
      <c r="C1" s="340" t="s">
        <v>677</v>
      </c>
      <c r="D1" s="340" t="s">
        <v>612</v>
      </c>
      <c r="E1" s="340" t="s">
        <v>678</v>
      </c>
      <c r="F1" s="340" t="s">
        <v>590</v>
      </c>
      <c r="G1" s="340" t="s">
        <v>582</v>
      </c>
      <c r="H1" s="340" t="s">
        <v>753</v>
      </c>
      <c r="I1" s="340" t="s">
        <v>754</v>
      </c>
      <c r="J1" s="340" t="s">
        <v>648</v>
      </c>
      <c r="K1" s="341" t="s">
        <v>1135</v>
      </c>
      <c r="L1" s="342" t="s">
        <v>598</v>
      </c>
      <c r="M1" s="342" t="s">
        <v>627</v>
      </c>
      <c r="N1" s="342" t="s">
        <v>628</v>
      </c>
      <c r="O1" s="342" t="s">
        <v>590</v>
      </c>
      <c r="P1" s="341" t="s">
        <v>1135</v>
      </c>
      <c r="Q1" s="343" t="s">
        <v>610</v>
      </c>
      <c r="R1" s="343" t="s">
        <v>638</v>
      </c>
      <c r="S1" s="341" t="s">
        <v>1135</v>
      </c>
      <c r="T1" s="344" t="s">
        <v>580</v>
      </c>
      <c r="U1" s="344" t="s">
        <v>581</v>
      </c>
      <c r="V1" s="341" t="s">
        <v>1135</v>
      </c>
      <c r="W1" s="344" t="s">
        <v>1319</v>
      </c>
      <c r="X1" s="344" t="s">
        <v>1242</v>
      </c>
      <c r="Y1" s="344" t="s">
        <v>1243</v>
      </c>
      <c r="Z1" s="344" t="s">
        <v>1320</v>
      </c>
      <c r="AA1" s="344" t="s">
        <v>1321</v>
      </c>
    </row>
    <row r="2" spans="1:27">
      <c r="A2" s="21" t="s">
        <v>679</v>
      </c>
      <c r="B2" s="21" t="s">
        <v>629</v>
      </c>
      <c r="C2" s="21" t="s">
        <v>478</v>
      </c>
      <c r="D2" s="21" t="s">
        <v>508</v>
      </c>
      <c r="E2" s="21" t="s">
        <v>513</v>
      </c>
      <c r="F2" s="21" t="s">
        <v>516</v>
      </c>
      <c r="G2" s="21" t="s">
        <v>528</v>
      </c>
      <c r="H2" s="21">
        <v>1</v>
      </c>
      <c r="I2" s="21" t="s">
        <v>568</v>
      </c>
      <c r="J2" s="21" t="s">
        <v>649</v>
      </c>
      <c r="L2" s="334" t="s">
        <v>1217</v>
      </c>
      <c r="M2" s="327" t="s">
        <v>1208</v>
      </c>
      <c r="N2" s="327" t="s">
        <v>1209</v>
      </c>
      <c r="O2" s="335" t="s">
        <v>1230</v>
      </c>
      <c r="Q2" s="181" t="s">
        <v>1291</v>
      </c>
      <c r="R2" s="337" t="s">
        <v>1296</v>
      </c>
      <c r="T2" s="25" t="s">
        <v>1307</v>
      </c>
      <c r="U2" s="25" t="s">
        <v>1308</v>
      </c>
      <c r="W2" s="25" t="s">
        <v>1244</v>
      </c>
      <c r="X2" s="346">
        <v>0</v>
      </c>
      <c r="Y2" s="345">
        <v>0</v>
      </c>
      <c r="Z2" s="345">
        <v>1</v>
      </c>
      <c r="AA2" s="345">
        <v>1787.77</v>
      </c>
    </row>
    <row r="3" spans="1:27">
      <c r="A3" s="21" t="s">
        <v>680</v>
      </c>
      <c r="B3" s="21" t="s">
        <v>413</v>
      </c>
      <c r="C3" s="21" t="s">
        <v>479</v>
      </c>
      <c r="D3" s="21" t="s">
        <v>509</v>
      </c>
      <c r="E3" s="21" t="s">
        <v>1127</v>
      </c>
      <c r="F3" s="21" t="s">
        <v>517</v>
      </c>
      <c r="G3" s="21" t="s">
        <v>529</v>
      </c>
      <c r="H3" s="21">
        <v>2</v>
      </c>
      <c r="I3" s="21" t="s">
        <v>569</v>
      </c>
      <c r="J3" s="21" t="s">
        <v>651</v>
      </c>
      <c r="L3" s="334" t="s">
        <v>1218</v>
      </c>
      <c r="M3" s="328" t="s">
        <v>1203</v>
      </c>
      <c r="N3" s="329" t="s">
        <v>1204</v>
      </c>
      <c r="O3" s="336" t="s">
        <v>1229</v>
      </c>
      <c r="Q3" s="181" t="s">
        <v>1297</v>
      </c>
      <c r="R3" s="337" t="s">
        <v>1298</v>
      </c>
      <c r="T3" s="25" t="s">
        <v>1290</v>
      </c>
      <c r="U3" s="25" t="s">
        <v>1309</v>
      </c>
      <c r="W3" s="25" t="s">
        <v>1246</v>
      </c>
      <c r="X3" s="346">
        <v>7.4999999999999997E-2</v>
      </c>
      <c r="Y3" s="345">
        <v>134.08000000000001</v>
      </c>
      <c r="Z3" s="345">
        <v>1787.78</v>
      </c>
      <c r="AA3" s="345">
        <v>2679.29</v>
      </c>
    </row>
    <row r="4" spans="1:27">
      <c r="A4" s="21" t="s">
        <v>681</v>
      </c>
      <c r="B4" s="21" t="s">
        <v>414</v>
      </c>
      <c r="C4" s="21" t="s">
        <v>480</v>
      </c>
      <c r="D4" s="21" t="s">
        <v>510</v>
      </c>
      <c r="E4" s="21" t="s">
        <v>514</v>
      </c>
      <c r="F4" s="21" t="s">
        <v>518</v>
      </c>
      <c r="G4" s="21" t="s">
        <v>530</v>
      </c>
      <c r="H4" s="21">
        <v>4</v>
      </c>
      <c r="I4" s="21" t="s">
        <v>570</v>
      </c>
      <c r="J4" s="21" t="s">
        <v>653</v>
      </c>
      <c r="L4" s="334" t="s">
        <v>1226</v>
      </c>
      <c r="M4" s="330" t="s">
        <v>1212</v>
      </c>
      <c r="N4" s="330" t="s">
        <v>1213</v>
      </c>
      <c r="O4" s="336" t="s">
        <v>1229</v>
      </c>
      <c r="Q4" s="181" t="s">
        <v>1299</v>
      </c>
      <c r="R4" s="337" t="s">
        <v>1300</v>
      </c>
      <c r="W4" s="25" t="s">
        <v>1248</v>
      </c>
      <c r="X4" s="346">
        <v>0.15</v>
      </c>
      <c r="Y4" s="345">
        <v>335.03</v>
      </c>
      <c r="Z4" s="345">
        <v>2679.3</v>
      </c>
      <c r="AA4" s="345">
        <v>3572.43</v>
      </c>
    </row>
    <row r="5" spans="1:27">
      <c r="A5" s="21" t="s">
        <v>682</v>
      </c>
      <c r="B5" s="21" t="s">
        <v>415</v>
      </c>
      <c r="C5" s="21" t="s">
        <v>630</v>
      </c>
      <c r="D5" s="21" t="s">
        <v>511</v>
      </c>
      <c r="E5" s="21" t="s">
        <v>515</v>
      </c>
      <c r="F5" s="21" t="s">
        <v>519</v>
      </c>
      <c r="G5" s="21" t="s">
        <v>531</v>
      </c>
      <c r="H5" s="21">
        <v>8</v>
      </c>
      <c r="I5" s="21" t="s">
        <v>571</v>
      </c>
      <c r="J5" s="21" t="s">
        <v>576</v>
      </c>
      <c r="L5" s="334" t="s">
        <v>1227</v>
      </c>
      <c r="M5" s="330" t="s">
        <v>1225</v>
      </c>
      <c r="N5" s="330" t="s">
        <v>1212</v>
      </c>
      <c r="O5" s="336" t="s">
        <v>1229</v>
      </c>
      <c r="Q5" s="181" t="s">
        <v>1301</v>
      </c>
      <c r="R5" s="337" t="s">
        <v>1302</v>
      </c>
      <c r="W5" s="25" t="s">
        <v>1249</v>
      </c>
      <c r="X5" s="346">
        <v>0.22500000000000001</v>
      </c>
      <c r="Y5" s="345">
        <v>602.96</v>
      </c>
      <c r="Z5" s="345">
        <v>3572.44</v>
      </c>
      <c r="AA5" s="345">
        <v>4463.8100000000004</v>
      </c>
    </row>
    <row r="6" spans="1:27">
      <c r="A6" s="21" t="s">
        <v>683</v>
      </c>
      <c r="B6" s="21" t="s">
        <v>416</v>
      </c>
      <c r="C6" s="21" t="s">
        <v>631</v>
      </c>
      <c r="D6" s="21" t="s">
        <v>512</v>
      </c>
      <c r="E6" s="21"/>
      <c r="F6" s="21" t="s">
        <v>520</v>
      </c>
      <c r="G6" s="21" t="s">
        <v>532</v>
      </c>
      <c r="H6" s="21">
        <v>12</v>
      </c>
      <c r="I6" s="21" t="s">
        <v>572</v>
      </c>
      <c r="J6" s="21"/>
      <c r="L6" s="334" t="s">
        <v>1197</v>
      </c>
      <c r="M6" s="328" t="s">
        <v>1198</v>
      </c>
      <c r="N6" s="328" t="s">
        <v>1199</v>
      </c>
      <c r="O6" s="336" t="s">
        <v>1229</v>
      </c>
      <c r="Q6" s="181" t="s">
        <v>1303</v>
      </c>
      <c r="R6" s="338" t="s">
        <v>1304</v>
      </c>
      <c r="W6" s="25" t="s">
        <v>1251</v>
      </c>
      <c r="X6" s="346">
        <v>0.27500000000000002</v>
      </c>
      <c r="Y6" s="345">
        <v>826.15</v>
      </c>
      <c r="Z6" s="345">
        <v>4463.82</v>
      </c>
      <c r="AA6" s="345">
        <v>1000000</v>
      </c>
    </row>
    <row r="7" spans="1:27">
      <c r="A7" s="21" t="s">
        <v>684</v>
      </c>
      <c r="B7" s="21" t="s">
        <v>417</v>
      </c>
      <c r="C7" s="21" t="s">
        <v>632</v>
      </c>
      <c r="D7" s="21"/>
      <c r="E7" s="21"/>
      <c r="F7" s="21" t="s">
        <v>521</v>
      </c>
      <c r="G7" s="21" t="s">
        <v>533</v>
      </c>
      <c r="H7" s="21">
        <v>16</v>
      </c>
      <c r="I7" s="21" t="s">
        <v>573</v>
      </c>
      <c r="J7" s="21"/>
      <c r="L7" s="334" t="s">
        <v>1223</v>
      </c>
      <c r="M7" s="331" t="s">
        <v>1212</v>
      </c>
      <c r="N7" s="331" t="s">
        <v>1213</v>
      </c>
      <c r="O7" s="336" t="s">
        <v>1229</v>
      </c>
      <c r="Q7" s="181" t="s">
        <v>1305</v>
      </c>
      <c r="R7" s="338" t="s">
        <v>1306</v>
      </c>
    </row>
    <row r="8" spans="1:27">
      <c r="A8" s="21" t="s">
        <v>685</v>
      </c>
      <c r="B8" s="21" t="s">
        <v>418</v>
      </c>
      <c r="C8" s="21" t="s">
        <v>481</v>
      </c>
      <c r="D8" s="21"/>
      <c r="E8" s="21"/>
      <c r="F8" s="21" t="s">
        <v>522</v>
      </c>
      <c r="G8" s="21" t="s">
        <v>534</v>
      </c>
      <c r="H8" s="21">
        <v>20</v>
      </c>
      <c r="I8" s="21" t="s">
        <v>574</v>
      </c>
      <c r="J8" s="21"/>
      <c r="L8" s="334" t="s">
        <v>1224</v>
      </c>
      <c r="M8" s="330" t="s">
        <v>1225</v>
      </c>
      <c r="N8" s="330" t="s">
        <v>1212</v>
      </c>
      <c r="O8" s="336" t="s">
        <v>1229</v>
      </c>
    </row>
    <row r="9" spans="1:27">
      <c r="A9" s="21" t="s">
        <v>686</v>
      </c>
      <c r="B9" s="21" t="s">
        <v>419</v>
      </c>
      <c r="C9" s="21" t="s">
        <v>633</v>
      </c>
      <c r="D9" s="21"/>
      <c r="E9" s="21"/>
      <c r="F9" s="21" t="s">
        <v>523</v>
      </c>
      <c r="G9" s="21" t="s">
        <v>535</v>
      </c>
      <c r="H9" s="21">
        <v>24</v>
      </c>
      <c r="I9" s="21" t="s">
        <v>575</v>
      </c>
      <c r="J9" s="21"/>
      <c r="L9" s="334" t="s">
        <v>1228</v>
      </c>
      <c r="M9" s="330" t="s">
        <v>1212</v>
      </c>
      <c r="N9" s="330" t="s">
        <v>1212</v>
      </c>
      <c r="O9" s="336" t="s">
        <v>1229</v>
      </c>
    </row>
    <row r="10" spans="1:27">
      <c r="A10" s="21" t="s">
        <v>687</v>
      </c>
      <c r="B10" s="21" t="s">
        <v>420</v>
      </c>
      <c r="C10" s="21" t="s">
        <v>634</v>
      </c>
      <c r="D10" s="21"/>
      <c r="E10" s="21"/>
      <c r="F10" s="21" t="s">
        <v>524</v>
      </c>
      <c r="G10" s="21" t="s">
        <v>536</v>
      </c>
      <c r="H10" s="21">
        <v>28</v>
      </c>
      <c r="I10" s="21"/>
      <c r="J10" s="21"/>
      <c r="L10" s="334" t="s">
        <v>1219</v>
      </c>
      <c r="M10" s="332" t="s">
        <v>1198</v>
      </c>
      <c r="N10" s="332" t="s">
        <v>1208</v>
      </c>
      <c r="O10" s="336" t="s">
        <v>1229</v>
      </c>
    </row>
    <row r="11" spans="1:27">
      <c r="A11" s="21" t="s">
        <v>688</v>
      </c>
      <c r="B11" s="21" t="s">
        <v>421</v>
      </c>
      <c r="C11" s="21" t="s">
        <v>482</v>
      </c>
      <c r="D11" s="21"/>
      <c r="E11" s="21"/>
      <c r="F11" s="21" t="s">
        <v>525</v>
      </c>
      <c r="G11" s="21" t="s">
        <v>537</v>
      </c>
      <c r="H11" s="21">
        <v>32</v>
      </c>
      <c r="I11" s="21"/>
      <c r="J11" s="21"/>
      <c r="L11" s="334" t="s">
        <v>1222</v>
      </c>
      <c r="M11" s="332" t="s">
        <v>1212</v>
      </c>
      <c r="N11" s="332" t="s">
        <v>1213</v>
      </c>
      <c r="O11" s="336"/>
    </row>
    <row r="12" spans="1:27">
      <c r="A12" s="21" t="s">
        <v>689</v>
      </c>
      <c r="B12" s="21" t="s">
        <v>422</v>
      </c>
      <c r="C12" s="21" t="s">
        <v>635</v>
      </c>
      <c r="D12" s="21"/>
      <c r="E12" s="21"/>
      <c r="F12" s="21" t="s">
        <v>546</v>
      </c>
      <c r="G12" s="21" t="s">
        <v>538</v>
      </c>
      <c r="H12" s="21">
        <v>36</v>
      </c>
      <c r="I12" s="21"/>
      <c r="J12" s="21"/>
      <c r="L12" s="334" t="s">
        <v>1220</v>
      </c>
      <c r="M12" s="330" t="s">
        <v>1209</v>
      </c>
      <c r="N12" s="327" t="s">
        <v>1221</v>
      </c>
      <c r="O12" s="336" t="s">
        <v>1229</v>
      </c>
    </row>
    <row r="13" spans="1:27">
      <c r="A13" s="21" t="s">
        <v>690</v>
      </c>
      <c r="B13" s="21" t="s">
        <v>423</v>
      </c>
      <c r="C13" s="21" t="s">
        <v>636</v>
      </c>
      <c r="D13" s="21"/>
      <c r="E13" s="21"/>
      <c r="F13" s="21" t="s">
        <v>546</v>
      </c>
      <c r="G13" s="21" t="s">
        <v>539</v>
      </c>
      <c r="H13" s="21">
        <v>40</v>
      </c>
      <c r="I13" s="21"/>
      <c r="J13" s="21"/>
      <c r="L13" s="334" t="s">
        <v>1206</v>
      </c>
      <c r="M13" s="333" t="s">
        <v>1198</v>
      </c>
      <c r="N13" s="329" t="s">
        <v>1199</v>
      </c>
      <c r="O13" s="335" t="s">
        <v>1230</v>
      </c>
    </row>
    <row r="14" spans="1:27">
      <c r="A14" s="21" t="s">
        <v>691</v>
      </c>
      <c r="B14" s="21" t="s">
        <v>424</v>
      </c>
      <c r="C14" s="21" t="s">
        <v>483</v>
      </c>
      <c r="D14" s="21"/>
      <c r="E14" s="21"/>
      <c r="F14" s="21" t="s">
        <v>526</v>
      </c>
      <c r="G14" s="21" t="s">
        <v>540</v>
      </c>
      <c r="H14" s="21">
        <v>44</v>
      </c>
      <c r="I14" s="21"/>
      <c r="J14" s="21"/>
      <c r="L14" s="334" t="s">
        <v>1211</v>
      </c>
      <c r="M14" s="327" t="s">
        <v>1212</v>
      </c>
      <c r="N14" s="327" t="s">
        <v>1213</v>
      </c>
      <c r="O14" s="336"/>
    </row>
    <row r="15" spans="1:27">
      <c r="A15" s="21" t="s">
        <v>692</v>
      </c>
      <c r="B15" s="21" t="s">
        <v>425</v>
      </c>
      <c r="C15" s="21" t="s">
        <v>484</v>
      </c>
      <c r="D15" s="21"/>
      <c r="E15" s="21"/>
      <c r="F15" s="21" t="s">
        <v>527</v>
      </c>
      <c r="G15" s="21" t="s">
        <v>541</v>
      </c>
      <c r="H15" s="21">
        <v>48</v>
      </c>
      <c r="I15" s="21"/>
      <c r="J15" s="21"/>
      <c r="L15" s="334" t="s">
        <v>1214</v>
      </c>
      <c r="M15" s="327" t="s">
        <v>1215</v>
      </c>
      <c r="N15" s="327" t="s">
        <v>1216</v>
      </c>
      <c r="O15" s="336"/>
    </row>
    <row r="16" spans="1:27">
      <c r="A16" s="21" t="s">
        <v>693</v>
      </c>
      <c r="B16" s="21" t="s">
        <v>426</v>
      </c>
      <c r="C16" s="21" t="s">
        <v>637</v>
      </c>
      <c r="D16" s="21"/>
      <c r="E16" s="21"/>
      <c r="F16" s="21"/>
      <c r="G16" s="21" t="s">
        <v>542</v>
      </c>
      <c r="H16" s="21">
        <v>52</v>
      </c>
      <c r="I16" s="21"/>
      <c r="J16" s="21"/>
      <c r="L16" s="334" t="s">
        <v>1210</v>
      </c>
      <c r="M16" s="333" t="s">
        <v>1204</v>
      </c>
      <c r="N16" s="329" t="s">
        <v>1208</v>
      </c>
      <c r="O16" s="336"/>
    </row>
    <row r="17" spans="1:15">
      <c r="A17" s="21" t="s">
        <v>694</v>
      </c>
      <c r="B17" s="21" t="s">
        <v>427</v>
      </c>
      <c r="C17" s="21" t="s">
        <v>485</v>
      </c>
      <c r="D17" s="21"/>
      <c r="E17" s="21"/>
      <c r="F17" s="21"/>
      <c r="G17" s="21" t="s">
        <v>543</v>
      </c>
      <c r="H17" s="21">
        <v>56</v>
      </c>
      <c r="I17" s="21"/>
      <c r="J17" s="21"/>
      <c r="L17" s="334" t="s">
        <v>1207</v>
      </c>
      <c r="M17" s="333" t="s">
        <v>1208</v>
      </c>
      <c r="N17" s="329" t="s">
        <v>1209</v>
      </c>
      <c r="O17" s="336" t="s">
        <v>1229</v>
      </c>
    </row>
    <row r="18" spans="1:15">
      <c r="A18" s="21" t="s">
        <v>695</v>
      </c>
      <c r="B18" s="21" t="s">
        <v>428</v>
      </c>
      <c r="C18" s="21" t="s">
        <v>639</v>
      </c>
      <c r="D18" s="21"/>
      <c r="E18" s="21"/>
      <c r="F18" s="21"/>
      <c r="G18" s="21" t="s">
        <v>544</v>
      </c>
      <c r="H18" s="21">
        <v>60</v>
      </c>
      <c r="I18" s="21"/>
      <c r="J18" s="21"/>
      <c r="L18" s="334" t="s">
        <v>1205</v>
      </c>
      <c r="M18" s="327" t="s">
        <v>1203</v>
      </c>
      <c r="N18" s="329" t="s">
        <v>1204</v>
      </c>
      <c r="O18" s="335" t="s">
        <v>1230</v>
      </c>
    </row>
    <row r="19" spans="1:15">
      <c r="A19" s="21" t="s">
        <v>696</v>
      </c>
      <c r="B19" s="21" t="s">
        <v>429</v>
      </c>
      <c r="C19" s="21" t="s">
        <v>640</v>
      </c>
      <c r="D19" s="21"/>
      <c r="E19" s="21"/>
      <c r="F19" s="21"/>
      <c r="G19" s="21" t="s">
        <v>545</v>
      </c>
      <c r="H19" s="21">
        <v>64</v>
      </c>
      <c r="I19" s="21"/>
      <c r="J19" s="21"/>
      <c r="L19" s="334" t="s">
        <v>1200</v>
      </c>
      <c r="M19" s="328" t="s">
        <v>1198</v>
      </c>
      <c r="N19" s="329" t="s">
        <v>1199</v>
      </c>
      <c r="O19" s="336" t="s">
        <v>1229</v>
      </c>
    </row>
    <row r="20" spans="1:15">
      <c r="A20" s="21" t="s">
        <v>697</v>
      </c>
      <c r="B20" s="21" t="s">
        <v>430</v>
      </c>
      <c r="C20" s="22" t="s">
        <v>641</v>
      </c>
      <c r="D20" s="21"/>
      <c r="E20" s="21"/>
      <c r="F20" s="21"/>
      <c r="G20" s="21" t="s">
        <v>546</v>
      </c>
      <c r="H20" s="21">
        <v>68</v>
      </c>
      <c r="I20" s="21"/>
      <c r="J20" s="21"/>
      <c r="L20" s="334" t="s">
        <v>1202</v>
      </c>
      <c r="M20" s="332" t="s">
        <v>1203</v>
      </c>
      <c r="N20" s="332" t="s">
        <v>1204</v>
      </c>
      <c r="O20" s="335" t="s">
        <v>1230</v>
      </c>
    </row>
    <row r="21" spans="1:15">
      <c r="A21" s="21" t="s">
        <v>698</v>
      </c>
      <c r="B21" s="21" t="s">
        <v>431</v>
      </c>
      <c r="C21" s="22" t="s">
        <v>642</v>
      </c>
      <c r="D21" s="21"/>
      <c r="E21" s="21"/>
      <c r="F21" s="21"/>
      <c r="G21" s="21" t="s">
        <v>547</v>
      </c>
      <c r="H21" s="21">
        <v>72</v>
      </c>
      <c r="I21" s="21"/>
      <c r="J21" s="21"/>
    </row>
    <row r="22" spans="1:15">
      <c r="A22" s="21" t="s">
        <v>699</v>
      </c>
      <c r="B22" s="22" t="s">
        <v>432</v>
      </c>
      <c r="C22" s="22" t="s">
        <v>486</v>
      </c>
      <c r="G22" s="22" t="s">
        <v>548</v>
      </c>
      <c r="H22" s="22">
        <v>76</v>
      </c>
    </row>
    <row r="23" spans="1:15">
      <c r="A23" s="21" t="s">
        <v>700</v>
      </c>
      <c r="B23" s="22" t="s">
        <v>433</v>
      </c>
      <c r="C23" s="22" t="s">
        <v>487</v>
      </c>
      <c r="G23" s="22" t="s">
        <v>549</v>
      </c>
      <c r="H23" s="22">
        <v>80</v>
      </c>
    </row>
    <row r="24" spans="1:15">
      <c r="A24" s="21" t="s">
        <v>701</v>
      </c>
      <c r="B24" s="22" t="s">
        <v>434</v>
      </c>
      <c r="C24" s="22" t="s">
        <v>643</v>
      </c>
      <c r="G24" s="22" t="s">
        <v>550</v>
      </c>
      <c r="H24" s="22">
        <v>84</v>
      </c>
    </row>
    <row r="25" spans="1:15">
      <c r="A25" s="21" t="s">
        <v>702</v>
      </c>
      <c r="B25" s="22" t="s">
        <v>435</v>
      </c>
      <c r="C25" s="22" t="s">
        <v>488</v>
      </c>
      <c r="G25" s="22" t="s">
        <v>551</v>
      </c>
      <c r="H25" s="22">
        <v>88</v>
      </c>
    </row>
    <row r="26" spans="1:15">
      <c r="A26" s="21" t="s">
        <v>703</v>
      </c>
      <c r="B26" s="22" t="s">
        <v>436</v>
      </c>
      <c r="C26" s="22" t="s">
        <v>647</v>
      </c>
      <c r="G26" s="22" t="s">
        <v>552</v>
      </c>
      <c r="H26" s="22">
        <v>92</v>
      </c>
    </row>
    <row r="27" spans="1:15">
      <c r="A27" s="21" t="s">
        <v>704</v>
      </c>
      <c r="B27" s="22" t="s">
        <v>437</v>
      </c>
      <c r="C27" s="22" t="s">
        <v>489</v>
      </c>
      <c r="G27" s="22" t="s">
        <v>553</v>
      </c>
      <c r="H27" s="22">
        <v>96</v>
      </c>
    </row>
    <row r="28" spans="1:15">
      <c r="A28" s="21" t="s">
        <v>705</v>
      </c>
      <c r="B28" s="22" t="s">
        <v>438</v>
      </c>
      <c r="C28" s="22" t="s">
        <v>650</v>
      </c>
      <c r="G28" s="22" t="s">
        <v>554</v>
      </c>
      <c r="H28" s="22">
        <v>100</v>
      </c>
    </row>
    <row r="29" spans="1:15">
      <c r="A29" s="21" t="s">
        <v>706</v>
      </c>
      <c r="B29" s="22" t="s">
        <v>439</v>
      </c>
      <c r="C29" s="22" t="s">
        <v>490</v>
      </c>
      <c r="G29" s="22" t="s">
        <v>555</v>
      </c>
    </row>
    <row r="30" spans="1:15">
      <c r="A30" s="21" t="s">
        <v>707</v>
      </c>
      <c r="B30" s="22" t="s">
        <v>440</v>
      </c>
      <c r="C30" s="22" t="s">
        <v>652</v>
      </c>
      <c r="G30" s="22" t="s">
        <v>556</v>
      </c>
    </row>
    <row r="31" spans="1:15">
      <c r="A31" s="21" t="s">
        <v>708</v>
      </c>
      <c r="B31" s="22" t="s">
        <v>441</v>
      </c>
      <c r="C31" s="21" t="s">
        <v>654</v>
      </c>
      <c r="G31" s="22" t="s">
        <v>557</v>
      </c>
    </row>
    <row r="32" spans="1:15">
      <c r="A32" s="21" t="s">
        <v>709</v>
      </c>
      <c r="B32" s="22" t="s">
        <v>442</v>
      </c>
      <c r="C32" s="21" t="s">
        <v>491</v>
      </c>
      <c r="G32" s="22" t="s">
        <v>558</v>
      </c>
    </row>
    <row r="33" spans="1:10">
      <c r="A33" s="21" t="s">
        <v>710</v>
      </c>
      <c r="B33" s="21" t="s">
        <v>443</v>
      </c>
      <c r="C33" s="21" t="s">
        <v>655</v>
      </c>
      <c r="D33" s="21"/>
      <c r="E33" s="21"/>
      <c r="F33" s="21"/>
      <c r="G33" s="21" t="s">
        <v>559</v>
      </c>
      <c r="H33" s="21"/>
      <c r="I33" s="21"/>
      <c r="J33" s="21"/>
    </row>
    <row r="34" spans="1:10">
      <c r="A34" s="21" t="s">
        <v>711</v>
      </c>
      <c r="B34" s="21" t="s">
        <v>444</v>
      </c>
      <c r="C34" s="21" t="s">
        <v>657</v>
      </c>
      <c r="D34" s="21"/>
      <c r="E34" s="21"/>
      <c r="F34" s="21"/>
      <c r="G34" s="21" t="s">
        <v>560</v>
      </c>
      <c r="H34" s="21"/>
      <c r="I34" s="21"/>
      <c r="J34" s="21"/>
    </row>
    <row r="35" spans="1:10">
      <c r="A35" s="21" t="s">
        <v>712</v>
      </c>
      <c r="B35" s="21" t="s">
        <v>445</v>
      </c>
      <c r="C35" s="21" t="s">
        <v>492</v>
      </c>
      <c r="D35" s="21"/>
      <c r="E35" s="21"/>
      <c r="F35" s="21"/>
      <c r="G35" s="21" t="s">
        <v>561</v>
      </c>
      <c r="H35" s="21"/>
      <c r="I35" s="21"/>
      <c r="J35" s="21"/>
    </row>
    <row r="36" spans="1:10">
      <c r="A36" s="21" t="s">
        <v>713</v>
      </c>
      <c r="B36" s="21" t="s">
        <v>446</v>
      </c>
      <c r="C36" s="21" t="s">
        <v>493</v>
      </c>
      <c r="D36" s="21"/>
      <c r="E36" s="21"/>
      <c r="F36" s="21"/>
      <c r="G36" s="21" t="s">
        <v>562</v>
      </c>
      <c r="H36" s="21"/>
      <c r="I36" s="21"/>
      <c r="J36" s="21"/>
    </row>
    <row r="37" spans="1:10">
      <c r="A37" s="21" t="s">
        <v>714</v>
      </c>
      <c r="B37" s="21" t="s">
        <v>447</v>
      </c>
      <c r="C37" s="21" t="s">
        <v>494</v>
      </c>
      <c r="D37" s="21"/>
      <c r="E37" s="21"/>
      <c r="F37" s="21"/>
      <c r="G37" s="21" t="s">
        <v>563</v>
      </c>
      <c r="H37" s="21"/>
      <c r="I37" s="21"/>
      <c r="J37" s="21"/>
    </row>
    <row r="38" spans="1:10">
      <c r="A38" s="21" t="s">
        <v>715</v>
      </c>
      <c r="B38" s="21" t="s">
        <v>656</v>
      </c>
      <c r="C38" s="21" t="s">
        <v>659</v>
      </c>
      <c r="D38" s="21"/>
      <c r="E38" s="21"/>
      <c r="F38" s="21"/>
      <c r="G38" s="21" t="s">
        <v>564</v>
      </c>
      <c r="H38" s="21"/>
      <c r="I38" s="21"/>
      <c r="J38" s="21"/>
    </row>
    <row r="39" spans="1:10">
      <c r="A39" s="21" t="s">
        <v>716</v>
      </c>
      <c r="B39" s="21" t="s">
        <v>448</v>
      </c>
      <c r="C39" s="21" t="s">
        <v>660</v>
      </c>
      <c r="D39" s="21"/>
      <c r="E39" s="21"/>
      <c r="F39" s="21"/>
      <c r="G39" s="21" t="s">
        <v>565</v>
      </c>
      <c r="H39" s="21"/>
      <c r="I39" s="21"/>
      <c r="J39" s="21"/>
    </row>
    <row r="40" spans="1:10">
      <c r="A40" s="21" t="s">
        <v>717</v>
      </c>
      <c r="B40" s="21" t="s">
        <v>449</v>
      </c>
      <c r="C40" s="21" t="s">
        <v>495</v>
      </c>
      <c r="D40" s="21"/>
      <c r="E40" s="21"/>
      <c r="F40" s="21"/>
      <c r="G40" s="21" t="s">
        <v>566</v>
      </c>
      <c r="H40" s="21"/>
      <c r="I40" s="21"/>
      <c r="J40" s="21"/>
    </row>
    <row r="41" spans="1:10">
      <c r="A41" s="21" t="s">
        <v>718</v>
      </c>
      <c r="B41" s="21" t="s">
        <v>450</v>
      </c>
      <c r="C41" s="21" t="s">
        <v>661</v>
      </c>
      <c r="D41" s="21"/>
      <c r="E41" s="21"/>
      <c r="F41" s="21"/>
      <c r="G41" s="21" t="s">
        <v>567</v>
      </c>
      <c r="H41" s="21"/>
      <c r="I41" s="21"/>
      <c r="J41" s="21"/>
    </row>
    <row r="42" spans="1:10">
      <c r="A42" s="21" t="s">
        <v>719</v>
      </c>
      <c r="B42" s="21" t="s">
        <v>658</v>
      </c>
      <c r="C42" s="21" t="s">
        <v>496</v>
      </c>
      <c r="D42" s="21"/>
      <c r="E42" s="21"/>
      <c r="F42" s="21"/>
      <c r="G42" s="21"/>
      <c r="H42" s="21"/>
      <c r="I42" s="21"/>
      <c r="J42" s="21"/>
    </row>
    <row r="43" spans="1:10">
      <c r="A43" s="21" t="s">
        <v>720</v>
      </c>
      <c r="B43" s="21" t="s">
        <v>451</v>
      </c>
      <c r="C43" s="21" t="s">
        <v>497</v>
      </c>
      <c r="D43" s="21"/>
      <c r="E43" s="21"/>
      <c r="F43" s="21"/>
      <c r="G43" s="21"/>
      <c r="H43" s="21"/>
      <c r="I43" s="21"/>
      <c r="J43" s="21"/>
    </row>
    <row r="44" spans="1:10">
      <c r="A44" s="21" t="s">
        <v>721</v>
      </c>
      <c r="B44" s="21" t="s">
        <v>452</v>
      </c>
      <c r="C44" s="21" t="s">
        <v>498</v>
      </c>
      <c r="D44" s="21"/>
      <c r="E44" s="21"/>
      <c r="F44" s="21"/>
      <c r="G44" s="21"/>
      <c r="H44" s="21"/>
      <c r="I44" s="21"/>
      <c r="J44" s="21"/>
    </row>
    <row r="45" spans="1:10">
      <c r="A45" s="21" t="s">
        <v>722</v>
      </c>
      <c r="B45" s="21" t="s">
        <v>453</v>
      </c>
      <c r="C45" s="21" t="s">
        <v>499</v>
      </c>
      <c r="D45" s="21"/>
      <c r="E45" s="21"/>
      <c r="F45" s="21"/>
      <c r="G45" s="21"/>
      <c r="H45" s="21"/>
      <c r="I45" s="21"/>
      <c r="J45" s="21"/>
    </row>
    <row r="46" spans="1:10">
      <c r="A46" s="21" t="s">
        <v>723</v>
      </c>
      <c r="B46" s="21" t="s">
        <v>454</v>
      </c>
      <c r="C46" s="21" t="s">
        <v>662</v>
      </c>
      <c r="D46" s="21"/>
      <c r="E46" s="21"/>
      <c r="F46" s="21"/>
      <c r="G46" s="21"/>
      <c r="H46" s="21"/>
      <c r="I46" s="21"/>
      <c r="J46" s="21"/>
    </row>
    <row r="47" spans="1:10">
      <c r="A47" s="21" t="s">
        <v>724</v>
      </c>
      <c r="B47" s="21" t="s">
        <v>455</v>
      </c>
      <c r="C47" s="21" t="s">
        <v>500</v>
      </c>
      <c r="D47" s="21"/>
      <c r="E47" s="21"/>
      <c r="F47" s="21"/>
      <c r="G47" s="21"/>
      <c r="H47" s="21"/>
      <c r="I47" s="21"/>
      <c r="J47" s="21"/>
    </row>
    <row r="48" spans="1:10">
      <c r="A48" s="21" t="s">
        <v>725</v>
      </c>
      <c r="B48" s="21" t="s">
        <v>456</v>
      </c>
      <c r="C48" s="21" t="s">
        <v>501</v>
      </c>
      <c r="D48" s="21"/>
      <c r="E48" s="21"/>
      <c r="F48" s="21"/>
      <c r="G48" s="21"/>
      <c r="H48" s="21"/>
      <c r="I48" s="21"/>
      <c r="J48" s="21"/>
    </row>
    <row r="49" spans="1:10">
      <c r="A49" s="21" t="s">
        <v>726</v>
      </c>
      <c r="B49" s="21" t="s">
        <v>457</v>
      </c>
      <c r="C49" s="21" t="s">
        <v>663</v>
      </c>
      <c r="D49" s="21"/>
      <c r="E49" s="21"/>
      <c r="F49" s="21"/>
      <c r="G49" s="21"/>
      <c r="H49" s="21"/>
      <c r="I49" s="21"/>
      <c r="J49" s="21"/>
    </row>
    <row r="50" spans="1:10">
      <c r="A50" s="21" t="s">
        <v>727</v>
      </c>
      <c r="B50" s="21" t="s">
        <v>458</v>
      </c>
      <c r="C50" s="21" t="s">
        <v>502</v>
      </c>
      <c r="D50" s="21"/>
      <c r="E50" s="21"/>
      <c r="F50" s="21"/>
      <c r="G50" s="21"/>
      <c r="H50" s="21"/>
      <c r="I50" s="21"/>
      <c r="J50" s="21"/>
    </row>
    <row r="51" spans="1:10">
      <c r="A51" s="21" t="s">
        <v>728</v>
      </c>
      <c r="B51" s="21" t="s">
        <v>459</v>
      </c>
      <c r="C51" s="21" t="s">
        <v>665</v>
      </c>
      <c r="D51" s="21"/>
      <c r="E51" s="21"/>
      <c r="F51" s="21"/>
      <c r="G51" s="21"/>
      <c r="H51" s="21"/>
      <c r="I51" s="21"/>
      <c r="J51" s="21"/>
    </row>
    <row r="52" spans="1:10">
      <c r="A52" s="21" t="s">
        <v>729</v>
      </c>
      <c r="B52" s="21" t="s">
        <v>664</v>
      </c>
      <c r="C52" s="21" t="s">
        <v>666</v>
      </c>
      <c r="D52" s="21"/>
      <c r="E52" s="21"/>
      <c r="F52" s="21"/>
      <c r="G52" s="21"/>
      <c r="H52" s="21"/>
      <c r="I52" s="21"/>
      <c r="J52" s="21"/>
    </row>
    <row r="53" spans="1:10">
      <c r="A53" s="21" t="s">
        <v>730</v>
      </c>
      <c r="B53" s="21" t="s">
        <v>460</v>
      </c>
      <c r="C53" s="21" t="s">
        <v>667</v>
      </c>
      <c r="D53" s="21"/>
      <c r="E53" s="21"/>
      <c r="F53" s="21"/>
      <c r="G53" s="21"/>
      <c r="H53" s="21"/>
      <c r="I53" s="21"/>
      <c r="J53" s="21"/>
    </row>
    <row r="54" spans="1:10">
      <c r="A54" s="21" t="s">
        <v>731</v>
      </c>
      <c r="B54" s="21" t="s">
        <v>461</v>
      </c>
      <c r="C54" s="21" t="s">
        <v>503</v>
      </c>
      <c r="D54" s="21"/>
      <c r="E54" s="21"/>
      <c r="F54" s="21"/>
      <c r="G54" s="21"/>
      <c r="H54" s="21"/>
      <c r="I54" s="21"/>
      <c r="J54" s="21"/>
    </row>
    <row r="55" spans="1:10">
      <c r="A55" s="21" t="s">
        <v>732</v>
      </c>
      <c r="B55" s="21" t="s">
        <v>462</v>
      </c>
      <c r="C55" s="22" t="s">
        <v>669</v>
      </c>
      <c r="D55" s="21"/>
      <c r="E55" s="21"/>
      <c r="F55" s="21"/>
      <c r="G55" s="21"/>
      <c r="H55" s="21"/>
      <c r="I55" s="21"/>
      <c r="J55" s="21"/>
    </row>
    <row r="56" spans="1:10">
      <c r="A56" s="21" t="s">
        <v>733</v>
      </c>
      <c r="B56" s="21" t="s">
        <v>463</v>
      </c>
      <c r="C56" s="22" t="s">
        <v>670</v>
      </c>
      <c r="D56" s="21"/>
      <c r="E56" s="21"/>
      <c r="F56" s="21"/>
      <c r="G56" s="21"/>
      <c r="H56" s="21"/>
      <c r="I56" s="21"/>
      <c r="J56" s="21"/>
    </row>
    <row r="57" spans="1:10">
      <c r="A57" s="22" t="s">
        <v>734</v>
      </c>
      <c r="B57" s="22" t="s">
        <v>464</v>
      </c>
      <c r="C57" s="22" t="s">
        <v>671</v>
      </c>
    </row>
    <row r="58" spans="1:10">
      <c r="A58" s="22" t="s">
        <v>735</v>
      </c>
      <c r="B58" s="22" t="s">
        <v>668</v>
      </c>
      <c r="C58" s="22" t="s">
        <v>672</v>
      </c>
    </row>
    <row r="59" spans="1:10">
      <c r="A59" s="22" t="s">
        <v>736</v>
      </c>
      <c r="B59" s="22" t="s">
        <v>465</v>
      </c>
      <c r="C59" s="22" t="s">
        <v>673</v>
      </c>
    </row>
    <row r="60" spans="1:10">
      <c r="A60" s="22" t="s">
        <v>737</v>
      </c>
      <c r="B60" s="22" t="s">
        <v>466</v>
      </c>
      <c r="C60" s="22" t="s">
        <v>504</v>
      </c>
    </row>
    <row r="61" spans="1:10">
      <c r="A61" s="22" t="s">
        <v>738</v>
      </c>
      <c r="B61" s="22" t="s">
        <v>467</v>
      </c>
      <c r="C61" s="22" t="s">
        <v>505</v>
      </c>
    </row>
    <row r="62" spans="1:10">
      <c r="A62" s="22" t="s">
        <v>739</v>
      </c>
      <c r="B62" s="22" t="s">
        <v>468</v>
      </c>
      <c r="C62" s="22" t="s">
        <v>506</v>
      </c>
    </row>
    <row r="63" spans="1:10">
      <c r="A63" s="22" t="s">
        <v>740</v>
      </c>
      <c r="B63" s="22" t="s">
        <v>469</v>
      </c>
      <c r="C63" s="21" t="s">
        <v>675</v>
      </c>
    </row>
    <row r="64" spans="1:10">
      <c r="A64" s="22" t="s">
        <v>741</v>
      </c>
      <c r="B64" s="22" t="s">
        <v>470</v>
      </c>
      <c r="C64" s="21" t="s">
        <v>676</v>
      </c>
    </row>
    <row r="65" spans="1:10">
      <c r="A65" s="21" t="s">
        <v>742</v>
      </c>
      <c r="B65" s="21" t="s">
        <v>471</v>
      </c>
      <c r="C65" s="21" t="s">
        <v>507</v>
      </c>
      <c r="D65" s="21"/>
      <c r="E65" s="21"/>
      <c r="F65" s="21"/>
      <c r="G65" s="21"/>
      <c r="H65" s="21"/>
      <c r="I65" s="21"/>
      <c r="J65" s="21"/>
    </row>
    <row r="66" spans="1:10">
      <c r="A66" s="21" t="s">
        <v>743</v>
      </c>
      <c r="B66" s="21" t="s">
        <v>472</v>
      </c>
      <c r="D66" s="21"/>
      <c r="E66" s="21"/>
      <c r="F66" s="21"/>
      <c r="G66" s="21"/>
      <c r="H66" s="21"/>
      <c r="I66" s="21"/>
      <c r="J66" s="21"/>
    </row>
    <row r="67" spans="1:10">
      <c r="A67" s="21" t="s">
        <v>744</v>
      </c>
      <c r="B67" s="21" t="s">
        <v>473</v>
      </c>
      <c r="D67" s="21"/>
      <c r="E67" s="21"/>
      <c r="F67" s="21"/>
      <c r="G67" s="21"/>
      <c r="H67" s="21"/>
      <c r="I67" s="21"/>
      <c r="J67" s="21"/>
    </row>
    <row r="68" spans="1:10">
      <c r="A68" s="21" t="s">
        <v>745</v>
      </c>
      <c r="B68" s="21" t="s">
        <v>474</v>
      </c>
      <c r="D68" s="21"/>
      <c r="E68" s="21"/>
      <c r="F68" s="21"/>
      <c r="G68" s="21"/>
      <c r="H68" s="21"/>
      <c r="I68" s="21"/>
      <c r="J68" s="21"/>
    </row>
    <row r="69" spans="1:10">
      <c r="A69" s="22" t="s">
        <v>746</v>
      </c>
      <c r="B69" s="22" t="s">
        <v>475</v>
      </c>
    </row>
    <row r="70" spans="1:10">
      <c r="A70" s="22" t="s">
        <v>747</v>
      </c>
      <c r="B70" s="22" t="s">
        <v>476</v>
      </c>
    </row>
    <row r="71" spans="1:10">
      <c r="A71" s="22" t="s">
        <v>748</v>
      </c>
      <c r="B71" s="22" t="s">
        <v>477</v>
      </c>
    </row>
    <row r="72" spans="1:10">
      <c r="A72" s="22" t="s">
        <v>749</v>
      </c>
      <c r="B72" s="22" t="s">
        <v>674</v>
      </c>
    </row>
    <row r="73" spans="1:10">
      <c r="A73" s="22" t="s">
        <v>750</v>
      </c>
    </row>
    <row r="74" spans="1:10">
      <c r="A74" s="22" t="s">
        <v>751</v>
      </c>
    </row>
    <row r="75" spans="1:10">
      <c r="A75" s="22" t="s">
        <v>752</v>
      </c>
    </row>
    <row r="76" spans="1:10">
      <c r="A76" s="22" t="s">
        <v>755</v>
      </c>
    </row>
    <row r="77" spans="1:10">
      <c r="A77" s="22" t="s">
        <v>756</v>
      </c>
    </row>
    <row r="78" spans="1:10">
      <c r="A78" s="22" t="s">
        <v>757</v>
      </c>
    </row>
    <row r="79" spans="1:10">
      <c r="A79" s="22" t="s">
        <v>758</v>
      </c>
    </row>
    <row r="80" spans="1:10">
      <c r="A80" s="22" t="s">
        <v>759</v>
      </c>
    </row>
    <row r="81" spans="1:1">
      <c r="A81" s="22" t="s">
        <v>760</v>
      </c>
    </row>
    <row r="82" spans="1:1">
      <c r="A82" s="22" t="s">
        <v>761</v>
      </c>
    </row>
    <row r="83" spans="1:1">
      <c r="A83" s="22" t="s">
        <v>762</v>
      </c>
    </row>
    <row r="84" spans="1:1">
      <c r="A84" s="22" t="s">
        <v>763</v>
      </c>
    </row>
    <row r="85" spans="1:1">
      <c r="A85" s="22" t="s">
        <v>764</v>
      </c>
    </row>
    <row r="86" spans="1:1">
      <c r="A86" s="22" t="s">
        <v>765</v>
      </c>
    </row>
    <row r="87" spans="1:1">
      <c r="A87" s="22" t="s">
        <v>766</v>
      </c>
    </row>
    <row r="88" spans="1:1">
      <c r="A88" s="22" t="s">
        <v>767</v>
      </c>
    </row>
    <row r="89" spans="1:1">
      <c r="A89" s="22" t="s">
        <v>768</v>
      </c>
    </row>
    <row r="90" spans="1:1">
      <c r="A90" s="22" t="s">
        <v>769</v>
      </c>
    </row>
    <row r="91" spans="1:1">
      <c r="A91" s="22" t="s">
        <v>770</v>
      </c>
    </row>
    <row r="92" spans="1:1">
      <c r="A92" s="22" t="s">
        <v>771</v>
      </c>
    </row>
    <row r="93" spans="1:1">
      <c r="A93" s="22" t="s">
        <v>772</v>
      </c>
    </row>
    <row r="94" spans="1:1">
      <c r="A94" s="22" t="s">
        <v>773</v>
      </c>
    </row>
    <row r="95" spans="1:1">
      <c r="A95" s="22" t="s">
        <v>774</v>
      </c>
    </row>
    <row r="96" spans="1:1">
      <c r="A96" s="22" t="s">
        <v>775</v>
      </c>
    </row>
    <row r="97" spans="1:1">
      <c r="A97" s="22" t="s">
        <v>776</v>
      </c>
    </row>
    <row r="98" spans="1:1">
      <c r="A98" s="22" t="s">
        <v>777</v>
      </c>
    </row>
    <row r="99" spans="1:1">
      <c r="A99" s="22" t="s">
        <v>778</v>
      </c>
    </row>
    <row r="100" spans="1:1">
      <c r="A100" s="22" t="s">
        <v>779</v>
      </c>
    </row>
    <row r="101" spans="1:1">
      <c r="A101" s="22" t="s">
        <v>780</v>
      </c>
    </row>
    <row r="102" spans="1:1">
      <c r="A102" s="22" t="s">
        <v>781</v>
      </c>
    </row>
    <row r="103" spans="1:1">
      <c r="A103" s="22" t="s">
        <v>782</v>
      </c>
    </row>
    <row r="104" spans="1:1">
      <c r="A104" s="22" t="s">
        <v>783</v>
      </c>
    </row>
    <row r="105" spans="1:1">
      <c r="A105" s="22" t="s">
        <v>784</v>
      </c>
    </row>
    <row r="106" spans="1:1">
      <c r="A106" s="22" t="s">
        <v>785</v>
      </c>
    </row>
    <row r="107" spans="1:1">
      <c r="A107" s="22" t="s">
        <v>786</v>
      </c>
    </row>
    <row r="108" spans="1:1">
      <c r="A108" s="22" t="s">
        <v>787</v>
      </c>
    </row>
    <row r="109" spans="1:1">
      <c r="A109" s="22" t="s">
        <v>788</v>
      </c>
    </row>
    <row r="110" spans="1:1">
      <c r="A110" s="22" t="s">
        <v>789</v>
      </c>
    </row>
    <row r="111" spans="1:1">
      <c r="A111" s="22" t="s">
        <v>790</v>
      </c>
    </row>
    <row r="112" spans="1:1">
      <c r="A112" s="22" t="s">
        <v>791</v>
      </c>
    </row>
    <row r="113" spans="1:1">
      <c r="A113" s="22" t="s">
        <v>792</v>
      </c>
    </row>
    <row r="114" spans="1:1">
      <c r="A114" s="22" t="s">
        <v>793</v>
      </c>
    </row>
    <row r="115" spans="1:1">
      <c r="A115" s="22" t="s">
        <v>794</v>
      </c>
    </row>
    <row r="116" spans="1:1">
      <c r="A116" s="22" t="s">
        <v>795</v>
      </c>
    </row>
    <row r="117" spans="1:1">
      <c r="A117" s="22" t="s">
        <v>796</v>
      </c>
    </row>
    <row r="118" spans="1:1">
      <c r="A118" s="22" t="s">
        <v>797</v>
      </c>
    </row>
    <row r="119" spans="1:1">
      <c r="A119" s="22" t="s">
        <v>798</v>
      </c>
    </row>
    <row r="120" spans="1:1">
      <c r="A120" s="22" t="s">
        <v>799</v>
      </c>
    </row>
    <row r="121" spans="1:1">
      <c r="A121" s="22" t="s">
        <v>800</v>
      </c>
    </row>
    <row r="122" spans="1:1">
      <c r="A122" s="22" t="s">
        <v>801</v>
      </c>
    </row>
    <row r="123" spans="1:1">
      <c r="A123" s="22" t="s">
        <v>802</v>
      </c>
    </row>
    <row r="124" spans="1:1">
      <c r="A124" s="22" t="s">
        <v>803</v>
      </c>
    </row>
    <row r="125" spans="1:1">
      <c r="A125" s="22" t="s">
        <v>804</v>
      </c>
    </row>
    <row r="126" spans="1:1">
      <c r="A126" s="22" t="s">
        <v>805</v>
      </c>
    </row>
    <row r="127" spans="1:1">
      <c r="A127" s="22" t="s">
        <v>806</v>
      </c>
    </row>
    <row r="128" spans="1:1">
      <c r="A128" s="22" t="s">
        <v>807</v>
      </c>
    </row>
    <row r="129" spans="1:1">
      <c r="A129" s="22" t="s">
        <v>808</v>
      </c>
    </row>
    <row r="130" spans="1:1">
      <c r="A130" s="22" t="s">
        <v>809</v>
      </c>
    </row>
    <row r="131" spans="1:1">
      <c r="A131" s="22" t="s">
        <v>810</v>
      </c>
    </row>
    <row r="132" spans="1:1">
      <c r="A132" s="22" t="s">
        <v>811</v>
      </c>
    </row>
    <row r="133" spans="1:1">
      <c r="A133" s="22" t="s">
        <v>812</v>
      </c>
    </row>
    <row r="134" spans="1:1">
      <c r="A134" s="22" t="s">
        <v>813</v>
      </c>
    </row>
    <row r="135" spans="1:1">
      <c r="A135" s="22" t="s">
        <v>814</v>
      </c>
    </row>
    <row r="136" spans="1:1">
      <c r="A136" s="22" t="s">
        <v>815</v>
      </c>
    </row>
    <row r="137" spans="1:1">
      <c r="A137" s="22" t="s">
        <v>816</v>
      </c>
    </row>
    <row r="138" spans="1:1">
      <c r="A138" s="22" t="s">
        <v>817</v>
      </c>
    </row>
    <row r="139" spans="1:1">
      <c r="A139" s="22" t="s">
        <v>818</v>
      </c>
    </row>
    <row r="140" spans="1:1">
      <c r="A140" s="22" t="s">
        <v>819</v>
      </c>
    </row>
    <row r="141" spans="1:1">
      <c r="A141" s="22" t="s">
        <v>820</v>
      </c>
    </row>
    <row r="142" spans="1:1">
      <c r="A142" s="22" t="s">
        <v>821</v>
      </c>
    </row>
    <row r="143" spans="1:1">
      <c r="A143" s="22" t="s">
        <v>822</v>
      </c>
    </row>
    <row r="144" spans="1:1">
      <c r="A144" s="22" t="s">
        <v>823</v>
      </c>
    </row>
    <row r="145" spans="1:1">
      <c r="A145" s="22" t="s">
        <v>824</v>
      </c>
    </row>
    <row r="146" spans="1:1">
      <c r="A146" s="22" t="s">
        <v>825</v>
      </c>
    </row>
    <row r="147" spans="1:1">
      <c r="A147" s="22" t="s">
        <v>826</v>
      </c>
    </row>
    <row r="148" spans="1:1">
      <c r="A148" s="22" t="s">
        <v>827</v>
      </c>
    </row>
    <row r="149" spans="1:1">
      <c r="A149" s="22" t="s">
        <v>828</v>
      </c>
    </row>
    <row r="150" spans="1:1">
      <c r="A150" s="22" t="s">
        <v>829</v>
      </c>
    </row>
    <row r="151" spans="1:1">
      <c r="A151" s="22" t="s">
        <v>830</v>
      </c>
    </row>
    <row r="152" spans="1:1">
      <c r="A152" s="22" t="s">
        <v>831</v>
      </c>
    </row>
    <row r="153" spans="1:1">
      <c r="A153" s="22" t="s">
        <v>832</v>
      </c>
    </row>
    <row r="154" spans="1:1">
      <c r="A154" s="22" t="s">
        <v>833</v>
      </c>
    </row>
    <row r="155" spans="1:1">
      <c r="A155" s="22" t="s">
        <v>834</v>
      </c>
    </row>
    <row r="156" spans="1:1">
      <c r="A156" s="22" t="s">
        <v>835</v>
      </c>
    </row>
    <row r="157" spans="1:1">
      <c r="A157" s="22" t="s">
        <v>836</v>
      </c>
    </row>
    <row r="158" spans="1:1">
      <c r="A158" s="22" t="s">
        <v>837</v>
      </c>
    </row>
    <row r="159" spans="1:1">
      <c r="A159" s="22" t="s">
        <v>838</v>
      </c>
    </row>
    <row r="160" spans="1:1">
      <c r="A160" s="22" t="s">
        <v>839</v>
      </c>
    </row>
    <row r="161" spans="1:1">
      <c r="A161" s="22" t="s">
        <v>840</v>
      </c>
    </row>
    <row r="162" spans="1:1">
      <c r="A162" s="22" t="s">
        <v>841</v>
      </c>
    </row>
    <row r="163" spans="1:1">
      <c r="A163" s="22" t="s">
        <v>842</v>
      </c>
    </row>
    <row r="164" spans="1:1">
      <c r="A164" s="22" t="s">
        <v>843</v>
      </c>
    </row>
    <row r="165" spans="1:1">
      <c r="A165" s="22" t="s">
        <v>844</v>
      </c>
    </row>
    <row r="166" spans="1:1">
      <c r="A166" s="22" t="s">
        <v>845</v>
      </c>
    </row>
    <row r="167" spans="1:1">
      <c r="A167" s="22" t="s">
        <v>846</v>
      </c>
    </row>
    <row r="168" spans="1:1">
      <c r="A168" s="22" t="s">
        <v>847</v>
      </c>
    </row>
    <row r="169" spans="1:1">
      <c r="A169" s="22" t="s">
        <v>848</v>
      </c>
    </row>
    <row r="170" spans="1:1">
      <c r="A170" s="22" t="s">
        <v>849</v>
      </c>
    </row>
    <row r="171" spans="1:1">
      <c r="A171" s="22" t="s">
        <v>850</v>
      </c>
    </row>
    <row r="172" spans="1:1">
      <c r="A172" s="22" t="s">
        <v>851</v>
      </c>
    </row>
    <row r="173" spans="1:1">
      <c r="A173" s="22" t="s">
        <v>852</v>
      </c>
    </row>
    <row r="174" spans="1:1">
      <c r="A174" s="22" t="s">
        <v>853</v>
      </c>
    </row>
    <row r="175" spans="1:1">
      <c r="A175" s="22" t="s">
        <v>854</v>
      </c>
    </row>
    <row r="176" spans="1:1">
      <c r="A176" s="22" t="s">
        <v>855</v>
      </c>
    </row>
    <row r="177" spans="1:1">
      <c r="A177" s="22" t="s">
        <v>856</v>
      </c>
    </row>
    <row r="178" spans="1:1">
      <c r="A178" s="22" t="s">
        <v>857</v>
      </c>
    </row>
    <row r="179" spans="1:1">
      <c r="A179" s="22" t="s">
        <v>858</v>
      </c>
    </row>
    <row r="180" spans="1:1">
      <c r="A180" s="22" t="s">
        <v>859</v>
      </c>
    </row>
    <row r="181" spans="1:1">
      <c r="A181" s="22" t="s">
        <v>860</v>
      </c>
    </row>
    <row r="182" spans="1:1">
      <c r="A182" s="22" t="s">
        <v>861</v>
      </c>
    </row>
    <row r="183" spans="1:1">
      <c r="A183" s="22" t="s">
        <v>862</v>
      </c>
    </row>
    <row r="184" spans="1:1">
      <c r="A184" s="22" t="s">
        <v>863</v>
      </c>
    </row>
    <row r="185" spans="1:1">
      <c r="A185" s="22" t="s">
        <v>864</v>
      </c>
    </row>
    <row r="186" spans="1:1">
      <c r="A186" s="22" t="s">
        <v>865</v>
      </c>
    </row>
    <row r="187" spans="1:1">
      <c r="A187" s="22" t="s">
        <v>866</v>
      </c>
    </row>
    <row r="188" spans="1:1">
      <c r="A188" s="22" t="s">
        <v>867</v>
      </c>
    </row>
    <row r="189" spans="1:1">
      <c r="A189" s="22" t="s">
        <v>868</v>
      </c>
    </row>
    <row r="190" spans="1:1">
      <c r="A190" s="22" t="s">
        <v>869</v>
      </c>
    </row>
    <row r="191" spans="1:1">
      <c r="A191" s="22" t="s">
        <v>870</v>
      </c>
    </row>
    <row r="192" spans="1:1">
      <c r="A192" s="22" t="s">
        <v>871</v>
      </c>
    </row>
    <row r="193" spans="1:1">
      <c r="A193" s="22" t="s">
        <v>872</v>
      </c>
    </row>
    <row r="194" spans="1:1">
      <c r="A194" s="22" t="s">
        <v>873</v>
      </c>
    </row>
    <row r="195" spans="1:1">
      <c r="A195" s="22" t="s">
        <v>874</v>
      </c>
    </row>
    <row r="196" spans="1:1">
      <c r="A196" s="22" t="s">
        <v>875</v>
      </c>
    </row>
    <row r="197" spans="1:1">
      <c r="A197" s="22" t="s">
        <v>876</v>
      </c>
    </row>
    <row r="198" spans="1:1">
      <c r="A198" s="22" t="s">
        <v>877</v>
      </c>
    </row>
    <row r="199" spans="1:1">
      <c r="A199" s="22" t="s">
        <v>878</v>
      </c>
    </row>
    <row r="200" spans="1:1">
      <c r="A200" s="22" t="s">
        <v>879</v>
      </c>
    </row>
    <row r="201" spans="1:1">
      <c r="A201" s="22" t="s">
        <v>880</v>
      </c>
    </row>
    <row r="202" spans="1:1">
      <c r="A202" s="22" t="s">
        <v>881</v>
      </c>
    </row>
    <row r="203" spans="1:1">
      <c r="A203" s="22" t="s">
        <v>882</v>
      </c>
    </row>
    <row r="204" spans="1:1">
      <c r="A204" s="22" t="s">
        <v>883</v>
      </c>
    </row>
    <row r="205" spans="1:1">
      <c r="A205" s="22" t="s">
        <v>884</v>
      </c>
    </row>
    <row r="206" spans="1:1">
      <c r="A206" s="22" t="s">
        <v>885</v>
      </c>
    </row>
    <row r="207" spans="1:1">
      <c r="A207" s="22" t="s">
        <v>886</v>
      </c>
    </row>
    <row r="208" spans="1:1">
      <c r="A208" s="22" t="s">
        <v>887</v>
      </c>
    </row>
    <row r="209" spans="1:1">
      <c r="A209" s="22" t="s">
        <v>888</v>
      </c>
    </row>
    <row r="210" spans="1:1">
      <c r="A210" s="22" t="s">
        <v>889</v>
      </c>
    </row>
    <row r="211" spans="1:1">
      <c r="A211" s="22" t="s">
        <v>890</v>
      </c>
    </row>
    <row r="212" spans="1:1">
      <c r="A212" s="22" t="s">
        <v>891</v>
      </c>
    </row>
    <row r="213" spans="1:1">
      <c r="A213" s="22" t="s">
        <v>892</v>
      </c>
    </row>
    <row r="214" spans="1:1">
      <c r="A214" s="22" t="s">
        <v>893</v>
      </c>
    </row>
    <row r="215" spans="1:1">
      <c r="A215" s="22" t="s">
        <v>894</v>
      </c>
    </row>
    <row r="216" spans="1:1">
      <c r="A216" s="22" t="s">
        <v>895</v>
      </c>
    </row>
    <row r="217" spans="1:1">
      <c r="A217" s="22" t="s">
        <v>896</v>
      </c>
    </row>
    <row r="218" spans="1:1">
      <c r="A218" s="22" t="s">
        <v>897</v>
      </c>
    </row>
    <row r="219" spans="1:1">
      <c r="A219" s="22" t="s">
        <v>898</v>
      </c>
    </row>
    <row r="220" spans="1:1">
      <c r="A220" s="22" t="s">
        <v>899</v>
      </c>
    </row>
    <row r="221" spans="1:1">
      <c r="A221" s="22" t="s">
        <v>900</v>
      </c>
    </row>
    <row r="222" spans="1:1">
      <c r="A222" s="22" t="s">
        <v>901</v>
      </c>
    </row>
    <row r="223" spans="1:1">
      <c r="A223" s="22" t="s">
        <v>902</v>
      </c>
    </row>
    <row r="224" spans="1:1">
      <c r="A224" s="22" t="s">
        <v>903</v>
      </c>
    </row>
    <row r="225" spans="1:1">
      <c r="A225" s="22" t="s">
        <v>904</v>
      </c>
    </row>
    <row r="226" spans="1:1">
      <c r="A226" s="22" t="s">
        <v>905</v>
      </c>
    </row>
    <row r="227" spans="1:1">
      <c r="A227" s="22" t="s">
        <v>906</v>
      </c>
    </row>
    <row r="228" spans="1:1">
      <c r="A228" s="22" t="s">
        <v>907</v>
      </c>
    </row>
    <row r="229" spans="1:1">
      <c r="A229" s="22" t="s">
        <v>908</v>
      </c>
    </row>
    <row r="230" spans="1:1">
      <c r="A230" s="22" t="s">
        <v>909</v>
      </c>
    </row>
    <row r="231" spans="1:1">
      <c r="A231" s="22" t="s">
        <v>910</v>
      </c>
    </row>
    <row r="232" spans="1:1">
      <c r="A232" s="22" t="s">
        <v>911</v>
      </c>
    </row>
    <row r="233" spans="1:1">
      <c r="A233" s="22" t="s">
        <v>912</v>
      </c>
    </row>
    <row r="234" spans="1:1">
      <c r="A234" s="22" t="s">
        <v>913</v>
      </c>
    </row>
    <row r="235" spans="1:1">
      <c r="A235" s="22" t="s">
        <v>914</v>
      </c>
    </row>
    <row r="236" spans="1:1">
      <c r="A236" s="22" t="s">
        <v>915</v>
      </c>
    </row>
    <row r="237" spans="1:1">
      <c r="A237" s="22" t="s">
        <v>916</v>
      </c>
    </row>
    <row r="238" spans="1:1">
      <c r="A238" s="22" t="s">
        <v>917</v>
      </c>
    </row>
    <row r="239" spans="1:1">
      <c r="A239" s="22" t="s">
        <v>918</v>
      </c>
    </row>
    <row r="240" spans="1:1">
      <c r="A240" s="22" t="s">
        <v>919</v>
      </c>
    </row>
    <row r="241" spans="1:1">
      <c r="A241" s="22" t="s">
        <v>920</v>
      </c>
    </row>
    <row r="242" spans="1:1">
      <c r="A242" s="22" t="s">
        <v>921</v>
      </c>
    </row>
    <row r="243" spans="1:1">
      <c r="A243" s="22" t="s">
        <v>922</v>
      </c>
    </row>
    <row r="244" spans="1:1">
      <c r="A244" s="22" t="s">
        <v>923</v>
      </c>
    </row>
    <row r="245" spans="1:1">
      <c r="A245" s="22" t="s">
        <v>924</v>
      </c>
    </row>
    <row r="246" spans="1:1">
      <c r="A246" s="22" t="s">
        <v>925</v>
      </c>
    </row>
    <row r="247" spans="1:1">
      <c r="A247" s="22" t="s">
        <v>926</v>
      </c>
    </row>
    <row r="248" spans="1:1">
      <c r="A248" s="22" t="s">
        <v>927</v>
      </c>
    </row>
    <row r="249" spans="1:1">
      <c r="A249" s="22" t="s">
        <v>928</v>
      </c>
    </row>
    <row r="250" spans="1:1">
      <c r="A250" s="22" t="s">
        <v>929</v>
      </c>
    </row>
    <row r="251" spans="1:1">
      <c r="A251" s="22" t="s">
        <v>930</v>
      </c>
    </row>
    <row r="252" spans="1:1">
      <c r="A252" s="22" t="s">
        <v>931</v>
      </c>
    </row>
    <row r="253" spans="1:1">
      <c r="A253" s="22" t="s">
        <v>932</v>
      </c>
    </row>
    <row r="254" spans="1:1">
      <c r="A254" s="22" t="s">
        <v>933</v>
      </c>
    </row>
    <row r="255" spans="1:1">
      <c r="A255" s="22" t="s">
        <v>934</v>
      </c>
    </row>
    <row r="256" spans="1:1">
      <c r="A256" s="22" t="s">
        <v>935</v>
      </c>
    </row>
    <row r="257" spans="1:1">
      <c r="A257" s="22" t="s">
        <v>936</v>
      </c>
    </row>
    <row r="258" spans="1:1">
      <c r="A258" s="22" t="s">
        <v>937</v>
      </c>
    </row>
    <row r="259" spans="1:1">
      <c r="A259" s="22" t="s">
        <v>938</v>
      </c>
    </row>
    <row r="260" spans="1:1">
      <c r="A260" s="22" t="s">
        <v>939</v>
      </c>
    </row>
    <row r="261" spans="1:1">
      <c r="A261" s="22" t="s">
        <v>940</v>
      </c>
    </row>
    <row r="262" spans="1:1">
      <c r="A262" s="22" t="s">
        <v>941</v>
      </c>
    </row>
    <row r="263" spans="1:1">
      <c r="A263" s="22" t="s">
        <v>942</v>
      </c>
    </row>
    <row r="264" spans="1:1">
      <c r="A264" s="22" t="s">
        <v>943</v>
      </c>
    </row>
    <row r="265" spans="1:1">
      <c r="A265" s="22" t="s">
        <v>944</v>
      </c>
    </row>
    <row r="266" spans="1:1">
      <c r="A266" s="22" t="s">
        <v>945</v>
      </c>
    </row>
    <row r="267" spans="1:1">
      <c r="A267" s="22" t="s">
        <v>946</v>
      </c>
    </row>
    <row r="268" spans="1:1">
      <c r="A268" s="22" t="s">
        <v>947</v>
      </c>
    </row>
    <row r="269" spans="1:1">
      <c r="A269" s="22" t="s">
        <v>948</v>
      </c>
    </row>
    <row r="270" spans="1:1">
      <c r="A270" s="22" t="s">
        <v>949</v>
      </c>
    </row>
    <row r="271" spans="1:1">
      <c r="A271" s="22" t="s">
        <v>950</v>
      </c>
    </row>
    <row r="272" spans="1:1">
      <c r="A272" s="22" t="s">
        <v>951</v>
      </c>
    </row>
    <row r="273" spans="1:1">
      <c r="A273" s="22" t="s">
        <v>952</v>
      </c>
    </row>
    <row r="274" spans="1:1">
      <c r="A274" s="22" t="s">
        <v>953</v>
      </c>
    </row>
    <row r="275" spans="1:1">
      <c r="A275" s="22" t="s">
        <v>954</v>
      </c>
    </row>
    <row r="276" spans="1:1">
      <c r="A276" s="22" t="s">
        <v>955</v>
      </c>
    </row>
    <row r="277" spans="1:1">
      <c r="A277" s="22" t="s">
        <v>956</v>
      </c>
    </row>
    <row r="278" spans="1:1">
      <c r="A278" s="22" t="s">
        <v>957</v>
      </c>
    </row>
    <row r="279" spans="1:1">
      <c r="A279" s="22" t="s">
        <v>958</v>
      </c>
    </row>
    <row r="280" spans="1:1">
      <c r="A280" s="22" t="s">
        <v>959</v>
      </c>
    </row>
    <row r="281" spans="1:1">
      <c r="A281" s="22" t="s">
        <v>960</v>
      </c>
    </row>
    <row r="282" spans="1:1">
      <c r="A282" s="22" t="s">
        <v>961</v>
      </c>
    </row>
    <row r="283" spans="1:1">
      <c r="A283" s="22" t="s">
        <v>962</v>
      </c>
    </row>
    <row r="284" spans="1:1">
      <c r="A284" s="22" t="s">
        <v>963</v>
      </c>
    </row>
    <row r="285" spans="1:1">
      <c r="A285" s="22" t="s">
        <v>964</v>
      </c>
    </row>
    <row r="286" spans="1:1">
      <c r="A286" s="22" t="s">
        <v>965</v>
      </c>
    </row>
    <row r="287" spans="1:1">
      <c r="A287" s="22" t="s">
        <v>966</v>
      </c>
    </row>
    <row r="288" spans="1:1">
      <c r="A288" s="22" t="s">
        <v>967</v>
      </c>
    </row>
    <row r="289" spans="1:1">
      <c r="A289" s="22" t="s">
        <v>968</v>
      </c>
    </row>
    <row r="290" spans="1:1">
      <c r="A290" s="22" t="s">
        <v>969</v>
      </c>
    </row>
    <row r="291" spans="1:1">
      <c r="A291" s="22" t="s">
        <v>970</v>
      </c>
    </row>
    <row r="292" spans="1:1">
      <c r="A292" s="22" t="s">
        <v>971</v>
      </c>
    </row>
    <row r="293" spans="1:1">
      <c r="A293" s="22" t="s">
        <v>972</v>
      </c>
    </row>
    <row r="294" spans="1:1">
      <c r="A294" s="22" t="s">
        <v>973</v>
      </c>
    </row>
    <row r="295" spans="1:1">
      <c r="A295" s="22" t="s">
        <v>974</v>
      </c>
    </row>
    <row r="296" spans="1:1">
      <c r="A296" s="22" t="s">
        <v>975</v>
      </c>
    </row>
    <row r="297" spans="1:1">
      <c r="A297" s="22" t="s">
        <v>976</v>
      </c>
    </row>
    <row r="298" spans="1:1">
      <c r="A298" s="22" t="s">
        <v>977</v>
      </c>
    </row>
    <row r="299" spans="1:1">
      <c r="A299" s="22" t="s">
        <v>978</v>
      </c>
    </row>
    <row r="300" spans="1:1">
      <c r="A300" s="22" t="s">
        <v>979</v>
      </c>
    </row>
    <row r="301" spans="1:1">
      <c r="A301" s="22" t="s">
        <v>980</v>
      </c>
    </row>
    <row r="302" spans="1:1">
      <c r="A302" s="22" t="s">
        <v>981</v>
      </c>
    </row>
    <row r="303" spans="1:1">
      <c r="A303" s="22" t="s">
        <v>982</v>
      </c>
    </row>
    <row r="304" spans="1:1">
      <c r="A304" s="22" t="s">
        <v>983</v>
      </c>
    </row>
    <row r="305" spans="1:1">
      <c r="A305" s="22" t="s">
        <v>984</v>
      </c>
    </row>
    <row r="306" spans="1:1">
      <c r="A306" s="22" t="s">
        <v>985</v>
      </c>
    </row>
    <row r="307" spans="1:1">
      <c r="A307" s="22" t="s">
        <v>986</v>
      </c>
    </row>
    <row r="308" spans="1:1">
      <c r="A308" s="22" t="s">
        <v>987</v>
      </c>
    </row>
    <row r="309" spans="1:1">
      <c r="A309" s="22" t="s">
        <v>988</v>
      </c>
    </row>
    <row r="310" spans="1:1">
      <c r="A310" s="22" t="s">
        <v>989</v>
      </c>
    </row>
    <row r="311" spans="1:1">
      <c r="A311" s="22" t="s">
        <v>990</v>
      </c>
    </row>
    <row r="312" spans="1:1">
      <c r="A312" s="22" t="s">
        <v>991</v>
      </c>
    </row>
    <row r="313" spans="1:1">
      <c r="A313" s="22" t="s">
        <v>992</v>
      </c>
    </row>
    <row r="314" spans="1:1">
      <c r="A314" s="22" t="s">
        <v>993</v>
      </c>
    </row>
    <row r="315" spans="1:1">
      <c r="A315" s="22" t="s">
        <v>994</v>
      </c>
    </row>
    <row r="316" spans="1:1">
      <c r="A316" s="22" t="s">
        <v>995</v>
      </c>
    </row>
    <row r="317" spans="1:1">
      <c r="A317" s="22" t="s">
        <v>996</v>
      </c>
    </row>
    <row r="318" spans="1:1">
      <c r="A318" s="22" t="s">
        <v>997</v>
      </c>
    </row>
    <row r="319" spans="1:1">
      <c r="A319" s="22" t="s">
        <v>998</v>
      </c>
    </row>
    <row r="320" spans="1:1">
      <c r="A320" s="22" t="s">
        <v>999</v>
      </c>
    </row>
    <row r="321" spans="1:1">
      <c r="A321" s="22" t="s">
        <v>1000</v>
      </c>
    </row>
    <row r="322" spans="1:1">
      <c r="A322" s="22" t="s">
        <v>1001</v>
      </c>
    </row>
    <row r="323" spans="1:1">
      <c r="A323" s="22" t="s">
        <v>1002</v>
      </c>
    </row>
    <row r="324" spans="1:1">
      <c r="A324" s="22" t="s">
        <v>1003</v>
      </c>
    </row>
    <row r="325" spans="1:1">
      <c r="A325" s="22" t="s">
        <v>1004</v>
      </c>
    </row>
    <row r="326" spans="1:1">
      <c r="A326" s="22" t="s">
        <v>1005</v>
      </c>
    </row>
    <row r="327" spans="1:1">
      <c r="A327" s="22" t="s">
        <v>1006</v>
      </c>
    </row>
    <row r="328" spans="1:1">
      <c r="A328" s="22" t="s">
        <v>1007</v>
      </c>
    </row>
    <row r="329" spans="1:1">
      <c r="A329" s="22" t="s">
        <v>1008</v>
      </c>
    </row>
    <row r="330" spans="1:1">
      <c r="A330" s="22" t="s">
        <v>1009</v>
      </c>
    </row>
    <row r="331" spans="1:1">
      <c r="A331" s="22" t="s">
        <v>1010</v>
      </c>
    </row>
    <row r="332" spans="1:1">
      <c r="A332" s="22" t="s">
        <v>1011</v>
      </c>
    </row>
    <row r="333" spans="1:1">
      <c r="A333" s="22" t="s">
        <v>1012</v>
      </c>
    </row>
    <row r="334" spans="1:1">
      <c r="A334" s="22" t="s">
        <v>1013</v>
      </c>
    </row>
    <row r="335" spans="1:1">
      <c r="A335" s="22" t="s">
        <v>1014</v>
      </c>
    </row>
    <row r="336" spans="1:1">
      <c r="A336" s="22" t="s">
        <v>1015</v>
      </c>
    </row>
    <row r="337" spans="1:1">
      <c r="A337" s="22" t="s">
        <v>1016</v>
      </c>
    </row>
    <row r="338" spans="1:1">
      <c r="A338" s="22" t="s">
        <v>1017</v>
      </c>
    </row>
    <row r="339" spans="1:1">
      <c r="A339" s="22" t="s">
        <v>1018</v>
      </c>
    </row>
    <row r="340" spans="1:1">
      <c r="A340" s="22" t="s">
        <v>1019</v>
      </c>
    </row>
    <row r="341" spans="1:1">
      <c r="A341" s="22" t="s">
        <v>1020</v>
      </c>
    </row>
    <row r="342" spans="1:1">
      <c r="A342" s="22" t="s">
        <v>1021</v>
      </c>
    </row>
    <row r="343" spans="1:1">
      <c r="A343" s="22" t="s">
        <v>1022</v>
      </c>
    </row>
    <row r="344" spans="1:1">
      <c r="A344" s="22" t="s">
        <v>1023</v>
      </c>
    </row>
    <row r="345" spans="1:1">
      <c r="A345" s="22" t="s">
        <v>1024</v>
      </c>
    </row>
    <row r="346" spans="1:1">
      <c r="A346" s="22" t="s">
        <v>1025</v>
      </c>
    </row>
    <row r="347" spans="1:1">
      <c r="A347" s="22" t="s">
        <v>1026</v>
      </c>
    </row>
    <row r="348" spans="1:1">
      <c r="A348" s="22" t="s">
        <v>1027</v>
      </c>
    </row>
    <row r="349" spans="1:1">
      <c r="A349" s="22" t="s">
        <v>1028</v>
      </c>
    </row>
    <row r="350" spans="1:1">
      <c r="A350" s="22" t="s">
        <v>1029</v>
      </c>
    </row>
    <row r="351" spans="1:1">
      <c r="A351" s="22" t="s">
        <v>1030</v>
      </c>
    </row>
    <row r="352" spans="1:1">
      <c r="A352" s="22" t="s">
        <v>1031</v>
      </c>
    </row>
    <row r="353" spans="1:1">
      <c r="A353" s="22" t="s">
        <v>1032</v>
      </c>
    </row>
    <row r="354" spans="1:1">
      <c r="A354" s="22" t="s">
        <v>1033</v>
      </c>
    </row>
    <row r="355" spans="1:1">
      <c r="A355" s="22" t="s">
        <v>1034</v>
      </c>
    </row>
    <row r="356" spans="1:1">
      <c r="A356" s="22" t="s">
        <v>1035</v>
      </c>
    </row>
    <row r="357" spans="1:1">
      <c r="A357" s="22" t="s">
        <v>1036</v>
      </c>
    </row>
    <row r="358" spans="1:1">
      <c r="A358" s="22" t="s">
        <v>1037</v>
      </c>
    </row>
    <row r="359" spans="1:1">
      <c r="A359" s="22" t="s">
        <v>1038</v>
      </c>
    </row>
    <row r="360" spans="1:1">
      <c r="A360" s="22" t="s">
        <v>1039</v>
      </c>
    </row>
    <row r="361" spans="1:1">
      <c r="A361" s="22" t="s">
        <v>1040</v>
      </c>
    </row>
    <row r="362" spans="1:1">
      <c r="A362" s="22" t="s">
        <v>1041</v>
      </c>
    </row>
    <row r="363" spans="1:1">
      <c r="A363" s="22" t="s">
        <v>1042</v>
      </c>
    </row>
    <row r="364" spans="1:1">
      <c r="A364" s="22" t="s">
        <v>1043</v>
      </c>
    </row>
    <row r="365" spans="1:1">
      <c r="A365" s="22" t="s">
        <v>1044</v>
      </c>
    </row>
    <row r="366" spans="1:1">
      <c r="A366" s="22" t="s">
        <v>1045</v>
      </c>
    </row>
    <row r="367" spans="1:1">
      <c r="A367" s="22" t="s">
        <v>1046</v>
      </c>
    </row>
    <row r="368" spans="1:1">
      <c r="A368" s="22" t="s">
        <v>1047</v>
      </c>
    </row>
    <row r="369" spans="1:1">
      <c r="A369" s="22" t="s">
        <v>1048</v>
      </c>
    </row>
    <row r="370" spans="1:1">
      <c r="A370" s="22" t="s">
        <v>1049</v>
      </c>
    </row>
    <row r="371" spans="1:1">
      <c r="A371" s="22" t="s">
        <v>1050</v>
      </c>
    </row>
    <row r="372" spans="1:1">
      <c r="A372" s="22" t="s">
        <v>1051</v>
      </c>
    </row>
    <row r="373" spans="1:1">
      <c r="A373" s="22" t="s">
        <v>1052</v>
      </c>
    </row>
    <row r="374" spans="1:1">
      <c r="A374" s="22" t="s">
        <v>1053</v>
      </c>
    </row>
    <row r="375" spans="1:1">
      <c r="A375" s="22" t="s">
        <v>1054</v>
      </c>
    </row>
    <row r="376" spans="1:1">
      <c r="A376" s="22" t="s">
        <v>1055</v>
      </c>
    </row>
    <row r="377" spans="1:1">
      <c r="A377" s="22" t="s">
        <v>1056</v>
      </c>
    </row>
    <row r="378" spans="1:1">
      <c r="A378" s="22" t="s">
        <v>1057</v>
      </c>
    </row>
    <row r="379" spans="1:1">
      <c r="A379" s="22" t="s">
        <v>1058</v>
      </c>
    </row>
    <row r="380" spans="1:1">
      <c r="A380" s="22" t="s">
        <v>1059</v>
      </c>
    </row>
    <row r="381" spans="1:1">
      <c r="A381" s="22" t="s">
        <v>1060</v>
      </c>
    </row>
    <row r="382" spans="1:1">
      <c r="A382" s="22" t="s">
        <v>1061</v>
      </c>
    </row>
    <row r="383" spans="1:1">
      <c r="A383" s="22" t="s">
        <v>1062</v>
      </c>
    </row>
    <row r="384" spans="1:1">
      <c r="A384" s="22" t="s">
        <v>1063</v>
      </c>
    </row>
    <row r="385" spans="1:1">
      <c r="A385" s="22" t="s">
        <v>1064</v>
      </c>
    </row>
    <row r="386" spans="1:1">
      <c r="A386" s="22" t="s">
        <v>1065</v>
      </c>
    </row>
    <row r="387" spans="1:1">
      <c r="A387" s="22" t="s">
        <v>1066</v>
      </c>
    </row>
    <row r="388" spans="1:1">
      <c r="A388" s="22" t="s">
        <v>1067</v>
      </c>
    </row>
    <row r="389" spans="1:1">
      <c r="A389" s="22" t="s">
        <v>1068</v>
      </c>
    </row>
    <row r="390" spans="1:1">
      <c r="A390" s="22" t="s">
        <v>1069</v>
      </c>
    </row>
    <row r="391" spans="1:1">
      <c r="A391" s="22" t="s">
        <v>1070</v>
      </c>
    </row>
    <row r="392" spans="1:1">
      <c r="A392" s="22" t="s">
        <v>1071</v>
      </c>
    </row>
    <row r="393" spans="1:1">
      <c r="A393" s="22" t="s">
        <v>1072</v>
      </c>
    </row>
    <row r="394" spans="1:1">
      <c r="A394" s="22" t="s">
        <v>1073</v>
      </c>
    </row>
    <row r="395" spans="1:1">
      <c r="A395" s="22" t="s">
        <v>1074</v>
      </c>
    </row>
    <row r="396" spans="1:1">
      <c r="A396" s="22" t="s">
        <v>1075</v>
      </c>
    </row>
    <row r="397" spans="1:1">
      <c r="A397" s="22" t="s">
        <v>1076</v>
      </c>
    </row>
    <row r="398" spans="1:1">
      <c r="A398" s="22" t="s">
        <v>1077</v>
      </c>
    </row>
    <row r="399" spans="1:1">
      <c r="A399" s="22" t="s">
        <v>1078</v>
      </c>
    </row>
    <row r="400" spans="1:1">
      <c r="A400" s="22" t="s">
        <v>1079</v>
      </c>
    </row>
    <row r="401" spans="1:1">
      <c r="A401" s="22" t="s">
        <v>1080</v>
      </c>
    </row>
    <row r="402" spans="1:1">
      <c r="A402" s="22" t="s">
        <v>1081</v>
      </c>
    </row>
    <row r="403" spans="1:1">
      <c r="A403" s="22" t="s">
        <v>1082</v>
      </c>
    </row>
    <row r="404" spans="1:1">
      <c r="A404" s="22" t="s">
        <v>1083</v>
      </c>
    </row>
    <row r="405" spans="1:1">
      <c r="A405" s="22" t="s">
        <v>1084</v>
      </c>
    </row>
    <row r="406" spans="1:1">
      <c r="A406" s="22" t="s">
        <v>1085</v>
      </c>
    </row>
    <row r="407" spans="1:1">
      <c r="A407" s="22" t="s">
        <v>1086</v>
      </c>
    </row>
    <row r="408" spans="1:1">
      <c r="A408" s="22" t="s">
        <v>1087</v>
      </c>
    </row>
    <row r="409" spans="1:1">
      <c r="A409" s="22" t="s">
        <v>1088</v>
      </c>
    </row>
    <row r="410" spans="1:1">
      <c r="A410" s="22" t="s">
        <v>1089</v>
      </c>
    </row>
    <row r="411" spans="1:1">
      <c r="A411" s="22" t="s">
        <v>1090</v>
      </c>
    </row>
    <row r="412" spans="1:1">
      <c r="A412" s="22" t="s">
        <v>1091</v>
      </c>
    </row>
    <row r="413" spans="1:1">
      <c r="A413" s="22" t="s">
        <v>1092</v>
      </c>
    </row>
    <row r="414" spans="1:1">
      <c r="A414" s="22" t="s">
        <v>1093</v>
      </c>
    </row>
    <row r="415" spans="1:1">
      <c r="A415" s="22" t="s">
        <v>1094</v>
      </c>
    </row>
    <row r="416" spans="1:1">
      <c r="A416" s="22" t="s">
        <v>1095</v>
      </c>
    </row>
    <row r="417" spans="1:1">
      <c r="A417" s="22" t="s">
        <v>1096</v>
      </c>
    </row>
    <row r="418" spans="1:1">
      <c r="A418" s="22" t="s">
        <v>1097</v>
      </c>
    </row>
    <row r="419" spans="1:1">
      <c r="A419" s="22" t="s">
        <v>1098</v>
      </c>
    </row>
    <row r="420" spans="1:1">
      <c r="A420" s="22" t="s">
        <v>1099</v>
      </c>
    </row>
    <row r="421" spans="1:1">
      <c r="A421" s="22" t="s">
        <v>1100</v>
      </c>
    </row>
    <row r="422" spans="1:1">
      <c r="A422" s="22" t="s">
        <v>1101</v>
      </c>
    </row>
    <row r="423" spans="1:1">
      <c r="A423" s="22" t="s">
        <v>1102</v>
      </c>
    </row>
    <row r="424" spans="1:1">
      <c r="A424" s="22" t="s">
        <v>1103</v>
      </c>
    </row>
    <row r="425" spans="1:1">
      <c r="A425" s="22" t="s">
        <v>1104</v>
      </c>
    </row>
    <row r="426" spans="1:1">
      <c r="A426" s="22" t="s">
        <v>1105</v>
      </c>
    </row>
    <row r="427" spans="1:1">
      <c r="A427" s="22" t="s">
        <v>1106</v>
      </c>
    </row>
    <row r="428" spans="1:1">
      <c r="A428" s="22" t="s">
        <v>1107</v>
      </c>
    </row>
    <row r="429" spans="1:1">
      <c r="A429" s="22" t="s">
        <v>1108</v>
      </c>
    </row>
    <row r="430" spans="1:1">
      <c r="A430" s="22" t="s">
        <v>1109</v>
      </c>
    </row>
    <row r="431" spans="1:1">
      <c r="A431" s="22" t="s">
        <v>1110</v>
      </c>
    </row>
    <row r="432" spans="1:1">
      <c r="A432" s="22" t="s">
        <v>1111</v>
      </c>
    </row>
    <row r="433" spans="1:1">
      <c r="A433" s="22" t="s">
        <v>1112</v>
      </c>
    </row>
    <row r="434" spans="1:1">
      <c r="A434" s="22" t="s">
        <v>1113</v>
      </c>
    </row>
    <row r="435" spans="1:1">
      <c r="A435" s="22" t="s">
        <v>1114</v>
      </c>
    </row>
    <row r="436" spans="1:1">
      <c r="A436" s="22" t="s">
        <v>1115</v>
      </c>
    </row>
    <row r="437" spans="1:1">
      <c r="A437" s="22" t="s">
        <v>1116</v>
      </c>
    </row>
    <row r="438" spans="1:1">
      <c r="A438" s="22" t="s">
        <v>1117</v>
      </c>
    </row>
    <row r="439" spans="1:1">
      <c r="A439" s="22" t="s">
        <v>1118</v>
      </c>
    </row>
    <row r="440" spans="1:1">
      <c r="A440" s="22" t="s">
        <v>1119</v>
      </c>
    </row>
    <row r="441" spans="1:1">
      <c r="A441" s="22" t="s">
        <v>1120</v>
      </c>
    </row>
    <row r="442" spans="1:1">
      <c r="A442" s="22" t="s">
        <v>1121</v>
      </c>
    </row>
    <row r="443" spans="1:1">
      <c r="A443" s="22" t="s">
        <v>1122</v>
      </c>
    </row>
    <row r="444" spans="1:1">
      <c r="A444" s="22" t="s">
        <v>1123</v>
      </c>
    </row>
    <row r="445" spans="1:1">
      <c r="A445" s="22" t="s">
        <v>0</v>
      </c>
    </row>
    <row r="446" spans="1:1">
      <c r="A446" s="22" t="s">
        <v>1</v>
      </c>
    </row>
    <row r="447" spans="1:1">
      <c r="A447" s="22" t="s">
        <v>2</v>
      </c>
    </row>
    <row r="448" spans="1:1">
      <c r="A448" s="22" t="s">
        <v>3</v>
      </c>
    </row>
    <row r="449" spans="1:1">
      <c r="A449" s="22" t="s">
        <v>4</v>
      </c>
    </row>
    <row r="450" spans="1:1">
      <c r="A450" s="22" t="s">
        <v>5</v>
      </c>
    </row>
    <row r="451" spans="1:1">
      <c r="A451" s="22" t="s">
        <v>6</v>
      </c>
    </row>
    <row r="452" spans="1:1">
      <c r="A452" s="22" t="s">
        <v>7</v>
      </c>
    </row>
    <row r="453" spans="1:1">
      <c r="A453" s="22" t="s">
        <v>8</v>
      </c>
    </row>
    <row r="454" spans="1:1">
      <c r="A454" s="22" t="s">
        <v>9</v>
      </c>
    </row>
    <row r="455" spans="1:1">
      <c r="A455" s="22" t="s">
        <v>10</v>
      </c>
    </row>
    <row r="456" spans="1:1">
      <c r="A456" s="22" t="s">
        <v>11</v>
      </c>
    </row>
    <row r="457" spans="1:1">
      <c r="A457" s="22" t="s">
        <v>12</v>
      </c>
    </row>
    <row r="458" spans="1:1">
      <c r="A458" s="22" t="s">
        <v>13</v>
      </c>
    </row>
    <row r="459" spans="1:1">
      <c r="A459" s="22" t="s">
        <v>14</v>
      </c>
    </row>
    <row r="460" spans="1:1">
      <c r="A460" s="22" t="s">
        <v>15</v>
      </c>
    </row>
    <row r="461" spans="1:1">
      <c r="A461" s="22" t="s">
        <v>16</v>
      </c>
    </row>
    <row r="462" spans="1:1">
      <c r="A462" s="22" t="s">
        <v>17</v>
      </c>
    </row>
    <row r="463" spans="1:1">
      <c r="A463" s="22" t="s">
        <v>18</v>
      </c>
    </row>
    <row r="464" spans="1:1">
      <c r="A464" s="22" t="s">
        <v>19</v>
      </c>
    </row>
    <row r="465" spans="1:1">
      <c r="A465" s="22" t="s">
        <v>20</v>
      </c>
    </row>
    <row r="466" spans="1:1">
      <c r="A466" s="22" t="s">
        <v>21</v>
      </c>
    </row>
    <row r="467" spans="1:1">
      <c r="A467" s="22" t="s">
        <v>22</v>
      </c>
    </row>
    <row r="468" spans="1:1">
      <c r="A468" s="22" t="s">
        <v>23</v>
      </c>
    </row>
    <row r="469" spans="1:1">
      <c r="A469" s="22" t="s">
        <v>24</v>
      </c>
    </row>
    <row r="470" spans="1:1">
      <c r="A470" s="22" t="s">
        <v>25</v>
      </c>
    </row>
    <row r="471" spans="1:1">
      <c r="A471" s="22" t="s">
        <v>26</v>
      </c>
    </row>
    <row r="472" spans="1:1">
      <c r="A472" s="22" t="s">
        <v>27</v>
      </c>
    </row>
    <row r="473" spans="1:1">
      <c r="A473" s="22" t="s">
        <v>28</v>
      </c>
    </row>
    <row r="474" spans="1:1">
      <c r="A474" s="22" t="s">
        <v>29</v>
      </c>
    </row>
    <row r="475" spans="1:1">
      <c r="A475" s="22" t="s">
        <v>30</v>
      </c>
    </row>
    <row r="476" spans="1:1">
      <c r="A476" s="22" t="s">
        <v>31</v>
      </c>
    </row>
    <row r="477" spans="1:1">
      <c r="A477" s="22" t="s">
        <v>32</v>
      </c>
    </row>
    <row r="478" spans="1:1">
      <c r="A478" s="22" t="s">
        <v>33</v>
      </c>
    </row>
    <row r="479" spans="1:1">
      <c r="A479" s="22" t="s">
        <v>34</v>
      </c>
    </row>
    <row r="480" spans="1:1">
      <c r="A480" s="22" t="s">
        <v>35</v>
      </c>
    </row>
    <row r="481" spans="1:1">
      <c r="A481" s="22" t="s">
        <v>36</v>
      </c>
    </row>
    <row r="482" spans="1:1">
      <c r="A482" s="22" t="s">
        <v>37</v>
      </c>
    </row>
    <row r="483" spans="1:1">
      <c r="A483" s="22" t="s">
        <v>38</v>
      </c>
    </row>
    <row r="484" spans="1:1">
      <c r="A484" s="22" t="s">
        <v>39</v>
      </c>
    </row>
    <row r="485" spans="1:1">
      <c r="A485" s="22" t="s">
        <v>40</v>
      </c>
    </row>
    <row r="486" spans="1:1">
      <c r="A486" s="22" t="s">
        <v>41</v>
      </c>
    </row>
    <row r="487" spans="1:1">
      <c r="A487" s="22" t="s">
        <v>42</v>
      </c>
    </row>
    <row r="488" spans="1:1">
      <c r="A488" s="22" t="s">
        <v>43</v>
      </c>
    </row>
    <row r="489" spans="1:1">
      <c r="A489" s="22" t="s">
        <v>44</v>
      </c>
    </row>
    <row r="490" spans="1:1">
      <c r="A490" s="22" t="s">
        <v>45</v>
      </c>
    </row>
    <row r="491" spans="1:1">
      <c r="A491" s="22" t="s">
        <v>46</v>
      </c>
    </row>
    <row r="492" spans="1:1">
      <c r="A492" s="22" t="s">
        <v>47</v>
      </c>
    </row>
    <row r="493" spans="1:1">
      <c r="A493" s="22" t="s">
        <v>48</v>
      </c>
    </row>
    <row r="494" spans="1:1">
      <c r="A494" s="22" t="s">
        <v>49</v>
      </c>
    </row>
    <row r="495" spans="1:1">
      <c r="A495" s="22" t="s">
        <v>50</v>
      </c>
    </row>
    <row r="496" spans="1:1">
      <c r="A496" s="22" t="s">
        <v>51</v>
      </c>
    </row>
    <row r="497" spans="1:1">
      <c r="A497" s="22" t="s">
        <v>52</v>
      </c>
    </row>
    <row r="498" spans="1:1">
      <c r="A498" s="22" t="s">
        <v>53</v>
      </c>
    </row>
    <row r="499" spans="1:1">
      <c r="A499" s="22" t="s">
        <v>54</v>
      </c>
    </row>
    <row r="500" spans="1:1">
      <c r="A500" s="22" t="s">
        <v>55</v>
      </c>
    </row>
    <row r="501" spans="1:1">
      <c r="A501" s="22" t="s">
        <v>56</v>
      </c>
    </row>
    <row r="502" spans="1:1">
      <c r="A502" s="22" t="s">
        <v>57</v>
      </c>
    </row>
    <row r="503" spans="1:1">
      <c r="A503" s="22" t="s">
        <v>58</v>
      </c>
    </row>
    <row r="504" spans="1:1">
      <c r="A504" s="22" t="s">
        <v>59</v>
      </c>
    </row>
    <row r="505" spans="1:1">
      <c r="A505" s="22" t="s">
        <v>60</v>
      </c>
    </row>
    <row r="506" spans="1:1">
      <c r="A506" s="22" t="s">
        <v>61</v>
      </c>
    </row>
    <row r="507" spans="1:1">
      <c r="A507" s="22" t="s">
        <v>62</v>
      </c>
    </row>
    <row r="508" spans="1:1">
      <c r="A508" s="22" t="s">
        <v>63</v>
      </c>
    </row>
    <row r="509" spans="1:1">
      <c r="A509" s="22" t="s">
        <v>64</v>
      </c>
    </row>
    <row r="510" spans="1:1">
      <c r="A510" s="22" t="s">
        <v>65</v>
      </c>
    </row>
    <row r="511" spans="1:1">
      <c r="A511" s="22" t="s">
        <v>66</v>
      </c>
    </row>
    <row r="512" spans="1:1">
      <c r="A512" s="22" t="s">
        <v>67</v>
      </c>
    </row>
    <row r="513" spans="1:1">
      <c r="A513" s="22" t="s">
        <v>68</v>
      </c>
    </row>
    <row r="514" spans="1:1">
      <c r="A514" s="22" t="s">
        <v>69</v>
      </c>
    </row>
    <row r="515" spans="1:1">
      <c r="A515" s="22" t="s">
        <v>70</v>
      </c>
    </row>
    <row r="516" spans="1:1">
      <c r="A516" s="22" t="s">
        <v>71</v>
      </c>
    </row>
    <row r="517" spans="1:1">
      <c r="A517" s="22" t="s">
        <v>72</v>
      </c>
    </row>
    <row r="518" spans="1:1">
      <c r="A518" s="22" t="s">
        <v>73</v>
      </c>
    </row>
    <row r="519" spans="1:1">
      <c r="A519" s="22" t="s">
        <v>74</v>
      </c>
    </row>
    <row r="520" spans="1:1">
      <c r="A520" s="22" t="s">
        <v>75</v>
      </c>
    </row>
    <row r="521" spans="1:1">
      <c r="A521" s="22" t="s">
        <v>76</v>
      </c>
    </row>
    <row r="522" spans="1:1">
      <c r="A522" s="22" t="s">
        <v>77</v>
      </c>
    </row>
    <row r="523" spans="1:1">
      <c r="A523" s="22" t="s">
        <v>78</v>
      </c>
    </row>
    <row r="524" spans="1:1">
      <c r="A524" s="22" t="s">
        <v>79</v>
      </c>
    </row>
    <row r="525" spans="1:1">
      <c r="A525" s="22" t="s">
        <v>80</v>
      </c>
    </row>
    <row r="526" spans="1:1">
      <c r="A526" s="22" t="s">
        <v>81</v>
      </c>
    </row>
    <row r="527" spans="1:1">
      <c r="A527" s="22" t="s">
        <v>82</v>
      </c>
    </row>
    <row r="528" spans="1:1">
      <c r="A528" s="22" t="s">
        <v>83</v>
      </c>
    </row>
    <row r="529" spans="1:1">
      <c r="A529" s="22" t="s">
        <v>84</v>
      </c>
    </row>
    <row r="530" spans="1:1">
      <c r="A530" s="22" t="s">
        <v>85</v>
      </c>
    </row>
    <row r="531" spans="1:1">
      <c r="A531" s="22" t="s">
        <v>86</v>
      </c>
    </row>
    <row r="532" spans="1:1">
      <c r="A532" s="22" t="s">
        <v>87</v>
      </c>
    </row>
    <row r="533" spans="1:1">
      <c r="A533" s="22" t="s">
        <v>88</v>
      </c>
    </row>
    <row r="534" spans="1:1">
      <c r="A534" s="22" t="s">
        <v>89</v>
      </c>
    </row>
    <row r="535" spans="1:1">
      <c r="A535" s="22" t="s">
        <v>90</v>
      </c>
    </row>
    <row r="536" spans="1:1">
      <c r="A536" s="22" t="s">
        <v>91</v>
      </c>
    </row>
    <row r="537" spans="1:1">
      <c r="A537" s="22" t="s">
        <v>92</v>
      </c>
    </row>
    <row r="538" spans="1:1">
      <c r="A538" s="22" t="s">
        <v>93</v>
      </c>
    </row>
    <row r="539" spans="1:1">
      <c r="A539" s="22" t="s">
        <v>94</v>
      </c>
    </row>
    <row r="540" spans="1:1">
      <c r="A540" s="22" t="s">
        <v>95</v>
      </c>
    </row>
    <row r="541" spans="1:1">
      <c r="A541" s="22" t="s">
        <v>96</v>
      </c>
    </row>
    <row r="542" spans="1:1">
      <c r="A542" s="22" t="s">
        <v>97</v>
      </c>
    </row>
    <row r="543" spans="1:1">
      <c r="A543" s="22" t="s">
        <v>98</v>
      </c>
    </row>
    <row r="544" spans="1:1">
      <c r="A544" s="22" t="s">
        <v>99</v>
      </c>
    </row>
    <row r="545" spans="1:1">
      <c r="A545" s="22" t="s">
        <v>100</v>
      </c>
    </row>
    <row r="546" spans="1:1">
      <c r="A546" s="22" t="s">
        <v>101</v>
      </c>
    </row>
    <row r="547" spans="1:1">
      <c r="A547" s="22" t="s">
        <v>102</v>
      </c>
    </row>
    <row r="548" spans="1:1">
      <c r="A548" s="22" t="s">
        <v>103</v>
      </c>
    </row>
    <row r="549" spans="1:1">
      <c r="A549" s="22" t="s">
        <v>104</v>
      </c>
    </row>
    <row r="550" spans="1:1">
      <c r="A550" s="22" t="s">
        <v>105</v>
      </c>
    </row>
    <row r="551" spans="1:1">
      <c r="A551" s="22" t="s">
        <v>106</v>
      </c>
    </row>
    <row r="552" spans="1:1">
      <c r="A552" s="22" t="s">
        <v>107</v>
      </c>
    </row>
    <row r="553" spans="1:1">
      <c r="A553" s="22" t="s">
        <v>108</v>
      </c>
    </row>
    <row r="554" spans="1:1">
      <c r="A554" s="22" t="s">
        <v>109</v>
      </c>
    </row>
    <row r="555" spans="1:1">
      <c r="A555" s="22" t="s">
        <v>110</v>
      </c>
    </row>
    <row r="556" spans="1:1">
      <c r="A556" s="22" t="s">
        <v>111</v>
      </c>
    </row>
    <row r="557" spans="1:1">
      <c r="A557" s="22" t="s">
        <v>112</v>
      </c>
    </row>
    <row r="558" spans="1:1">
      <c r="A558" s="22" t="s">
        <v>113</v>
      </c>
    </row>
    <row r="559" spans="1:1">
      <c r="A559" s="22" t="s">
        <v>114</v>
      </c>
    </row>
    <row r="560" spans="1:1">
      <c r="A560" s="22" t="s">
        <v>115</v>
      </c>
    </row>
    <row r="561" spans="1:1">
      <c r="A561" s="22" t="s">
        <v>116</v>
      </c>
    </row>
    <row r="562" spans="1:1">
      <c r="A562" s="22" t="s">
        <v>117</v>
      </c>
    </row>
    <row r="563" spans="1:1">
      <c r="A563" s="22" t="s">
        <v>118</v>
      </c>
    </row>
    <row r="564" spans="1:1">
      <c r="A564" s="22" t="s">
        <v>119</v>
      </c>
    </row>
    <row r="565" spans="1:1">
      <c r="A565" s="22" t="s">
        <v>120</v>
      </c>
    </row>
    <row r="566" spans="1:1">
      <c r="A566" s="22" t="s">
        <v>121</v>
      </c>
    </row>
    <row r="567" spans="1:1">
      <c r="A567" s="22" t="s">
        <v>122</v>
      </c>
    </row>
    <row r="568" spans="1:1">
      <c r="A568" s="22" t="s">
        <v>123</v>
      </c>
    </row>
    <row r="569" spans="1:1">
      <c r="A569" s="22" t="s">
        <v>124</v>
      </c>
    </row>
    <row r="570" spans="1:1">
      <c r="A570" s="22" t="s">
        <v>125</v>
      </c>
    </row>
    <row r="571" spans="1:1">
      <c r="A571" s="22" t="s">
        <v>126</v>
      </c>
    </row>
    <row r="572" spans="1:1">
      <c r="A572" s="22" t="s">
        <v>127</v>
      </c>
    </row>
    <row r="573" spans="1:1">
      <c r="A573" s="22" t="s">
        <v>128</v>
      </c>
    </row>
    <row r="574" spans="1:1">
      <c r="A574" s="22" t="s">
        <v>129</v>
      </c>
    </row>
    <row r="575" spans="1:1">
      <c r="A575" s="22" t="s">
        <v>130</v>
      </c>
    </row>
    <row r="576" spans="1:1">
      <c r="A576" s="22" t="s">
        <v>131</v>
      </c>
    </row>
    <row r="577" spans="1:1">
      <c r="A577" s="22" t="s">
        <v>132</v>
      </c>
    </row>
    <row r="578" spans="1:1">
      <c r="A578" s="22" t="s">
        <v>133</v>
      </c>
    </row>
    <row r="579" spans="1:1">
      <c r="A579" s="22" t="s">
        <v>134</v>
      </c>
    </row>
    <row r="580" spans="1:1">
      <c r="A580" s="22" t="s">
        <v>135</v>
      </c>
    </row>
    <row r="581" spans="1:1">
      <c r="A581" s="22" t="s">
        <v>136</v>
      </c>
    </row>
    <row r="582" spans="1:1">
      <c r="A582" s="22" t="s">
        <v>137</v>
      </c>
    </row>
    <row r="583" spans="1:1">
      <c r="A583" s="22" t="s">
        <v>138</v>
      </c>
    </row>
    <row r="584" spans="1:1">
      <c r="A584" s="22" t="s">
        <v>139</v>
      </c>
    </row>
    <row r="585" spans="1:1">
      <c r="A585" s="22" t="s">
        <v>140</v>
      </c>
    </row>
    <row r="586" spans="1:1">
      <c r="A586" s="22" t="s">
        <v>141</v>
      </c>
    </row>
    <row r="587" spans="1:1">
      <c r="A587" s="22" t="s">
        <v>142</v>
      </c>
    </row>
    <row r="588" spans="1:1">
      <c r="A588" s="22" t="s">
        <v>143</v>
      </c>
    </row>
    <row r="589" spans="1:1">
      <c r="A589" s="22" t="s">
        <v>144</v>
      </c>
    </row>
    <row r="590" spans="1:1">
      <c r="A590" s="22" t="s">
        <v>145</v>
      </c>
    </row>
    <row r="591" spans="1:1">
      <c r="A591" s="22" t="s">
        <v>146</v>
      </c>
    </row>
    <row r="592" spans="1:1">
      <c r="A592" s="22" t="s">
        <v>147</v>
      </c>
    </row>
    <row r="593" spans="1:1">
      <c r="A593" s="22" t="s">
        <v>148</v>
      </c>
    </row>
    <row r="594" spans="1:1">
      <c r="A594" s="22" t="s">
        <v>149</v>
      </c>
    </row>
    <row r="595" spans="1:1">
      <c r="A595" s="22" t="s">
        <v>150</v>
      </c>
    </row>
    <row r="596" spans="1:1">
      <c r="A596" s="22" t="s">
        <v>151</v>
      </c>
    </row>
    <row r="597" spans="1:1">
      <c r="A597" s="22" t="s">
        <v>152</v>
      </c>
    </row>
    <row r="598" spans="1:1">
      <c r="A598" s="22" t="s">
        <v>153</v>
      </c>
    </row>
    <row r="599" spans="1:1">
      <c r="A599" s="22" t="s">
        <v>154</v>
      </c>
    </row>
    <row r="600" spans="1:1">
      <c r="A600" s="22" t="s">
        <v>155</v>
      </c>
    </row>
    <row r="601" spans="1:1">
      <c r="A601" s="22" t="s">
        <v>156</v>
      </c>
    </row>
    <row r="602" spans="1:1">
      <c r="A602" s="22" t="s">
        <v>157</v>
      </c>
    </row>
    <row r="603" spans="1:1">
      <c r="A603" s="22" t="s">
        <v>158</v>
      </c>
    </row>
    <row r="604" spans="1:1">
      <c r="A604" s="22" t="s">
        <v>159</v>
      </c>
    </row>
    <row r="605" spans="1:1">
      <c r="A605" s="22" t="s">
        <v>160</v>
      </c>
    </row>
    <row r="606" spans="1:1">
      <c r="A606" s="22" t="s">
        <v>161</v>
      </c>
    </row>
    <row r="607" spans="1:1">
      <c r="A607" s="22" t="s">
        <v>162</v>
      </c>
    </row>
    <row r="608" spans="1:1">
      <c r="A608" s="22" t="s">
        <v>163</v>
      </c>
    </row>
    <row r="609" spans="1:1">
      <c r="A609" s="22" t="s">
        <v>164</v>
      </c>
    </row>
    <row r="610" spans="1:1">
      <c r="A610" s="22" t="s">
        <v>165</v>
      </c>
    </row>
    <row r="611" spans="1:1">
      <c r="A611" s="22" t="s">
        <v>166</v>
      </c>
    </row>
    <row r="612" spans="1:1">
      <c r="A612" s="22" t="s">
        <v>167</v>
      </c>
    </row>
    <row r="613" spans="1:1">
      <c r="A613" s="22" t="s">
        <v>168</v>
      </c>
    </row>
    <row r="614" spans="1:1">
      <c r="A614" s="22" t="s">
        <v>169</v>
      </c>
    </row>
    <row r="615" spans="1:1">
      <c r="A615" s="22" t="s">
        <v>170</v>
      </c>
    </row>
    <row r="616" spans="1:1">
      <c r="A616" s="22" t="s">
        <v>171</v>
      </c>
    </row>
    <row r="617" spans="1:1">
      <c r="A617" s="22" t="s">
        <v>172</v>
      </c>
    </row>
    <row r="618" spans="1:1">
      <c r="A618" s="22" t="s">
        <v>173</v>
      </c>
    </row>
    <row r="619" spans="1:1">
      <c r="A619" s="22" t="s">
        <v>174</v>
      </c>
    </row>
    <row r="620" spans="1:1">
      <c r="A620" s="22" t="s">
        <v>175</v>
      </c>
    </row>
    <row r="621" spans="1:1">
      <c r="A621" s="22" t="s">
        <v>176</v>
      </c>
    </row>
    <row r="622" spans="1:1">
      <c r="A622" s="22" t="s">
        <v>177</v>
      </c>
    </row>
    <row r="623" spans="1:1">
      <c r="A623" s="22" t="s">
        <v>178</v>
      </c>
    </row>
    <row r="624" spans="1:1">
      <c r="A624" s="22" t="s">
        <v>179</v>
      </c>
    </row>
    <row r="625" spans="1:1">
      <c r="A625" s="22" t="s">
        <v>180</v>
      </c>
    </row>
    <row r="626" spans="1:1">
      <c r="A626" s="22" t="s">
        <v>181</v>
      </c>
    </row>
    <row r="627" spans="1:1">
      <c r="A627" s="22" t="s">
        <v>182</v>
      </c>
    </row>
    <row r="628" spans="1:1">
      <c r="A628" s="22" t="s">
        <v>183</v>
      </c>
    </row>
    <row r="629" spans="1:1">
      <c r="A629" s="22" t="s">
        <v>184</v>
      </c>
    </row>
    <row r="630" spans="1:1">
      <c r="A630" s="22" t="s">
        <v>185</v>
      </c>
    </row>
    <row r="631" spans="1:1">
      <c r="A631" s="22" t="s">
        <v>186</v>
      </c>
    </row>
    <row r="632" spans="1:1">
      <c r="A632" s="22" t="s">
        <v>187</v>
      </c>
    </row>
    <row r="633" spans="1:1">
      <c r="A633" s="22" t="s">
        <v>188</v>
      </c>
    </row>
    <row r="634" spans="1:1">
      <c r="A634" s="22" t="s">
        <v>189</v>
      </c>
    </row>
    <row r="635" spans="1:1">
      <c r="A635" s="22" t="s">
        <v>190</v>
      </c>
    </row>
    <row r="636" spans="1:1">
      <c r="A636" s="22" t="s">
        <v>191</v>
      </c>
    </row>
    <row r="637" spans="1:1">
      <c r="A637" s="22" t="s">
        <v>192</v>
      </c>
    </row>
    <row r="638" spans="1:1">
      <c r="A638" s="22" t="s">
        <v>193</v>
      </c>
    </row>
    <row r="639" spans="1:1">
      <c r="A639" s="22" t="s">
        <v>194</v>
      </c>
    </row>
    <row r="640" spans="1:1">
      <c r="A640" s="22" t="s">
        <v>195</v>
      </c>
    </row>
    <row r="641" spans="1:1">
      <c r="A641" s="22" t="s">
        <v>196</v>
      </c>
    </row>
    <row r="642" spans="1:1">
      <c r="A642" s="22" t="s">
        <v>197</v>
      </c>
    </row>
    <row r="643" spans="1:1">
      <c r="A643" s="22" t="s">
        <v>198</v>
      </c>
    </row>
    <row r="644" spans="1:1">
      <c r="A644" s="22" t="s">
        <v>199</v>
      </c>
    </row>
    <row r="645" spans="1:1">
      <c r="A645" s="22" t="s">
        <v>200</v>
      </c>
    </row>
    <row r="646" spans="1:1">
      <c r="A646" s="22" t="s">
        <v>201</v>
      </c>
    </row>
    <row r="647" spans="1:1">
      <c r="A647" s="22" t="s">
        <v>202</v>
      </c>
    </row>
    <row r="648" spans="1:1">
      <c r="A648" s="22" t="s">
        <v>203</v>
      </c>
    </row>
    <row r="649" spans="1:1">
      <c r="A649" s="22" t="s">
        <v>204</v>
      </c>
    </row>
    <row r="650" spans="1:1">
      <c r="A650" s="22" t="s">
        <v>205</v>
      </c>
    </row>
    <row r="651" spans="1:1">
      <c r="A651" s="22" t="s">
        <v>206</v>
      </c>
    </row>
    <row r="652" spans="1:1">
      <c r="A652" s="22" t="s">
        <v>207</v>
      </c>
    </row>
    <row r="653" spans="1:1">
      <c r="A653" s="22" t="s">
        <v>208</v>
      </c>
    </row>
    <row r="654" spans="1:1">
      <c r="A654" s="22" t="s">
        <v>209</v>
      </c>
    </row>
    <row r="655" spans="1:1">
      <c r="A655" s="22" t="s">
        <v>210</v>
      </c>
    </row>
    <row r="656" spans="1:1">
      <c r="A656" s="22" t="s">
        <v>211</v>
      </c>
    </row>
    <row r="657" spans="1:1">
      <c r="A657" s="22" t="s">
        <v>212</v>
      </c>
    </row>
    <row r="658" spans="1:1">
      <c r="A658" s="22" t="s">
        <v>213</v>
      </c>
    </row>
    <row r="659" spans="1:1">
      <c r="A659" s="22" t="s">
        <v>214</v>
      </c>
    </row>
    <row r="660" spans="1:1">
      <c r="A660" s="22" t="s">
        <v>215</v>
      </c>
    </row>
    <row r="661" spans="1:1">
      <c r="A661" s="22" t="s">
        <v>216</v>
      </c>
    </row>
    <row r="662" spans="1:1">
      <c r="A662" s="22" t="s">
        <v>217</v>
      </c>
    </row>
    <row r="663" spans="1:1">
      <c r="A663" s="22" t="s">
        <v>218</v>
      </c>
    </row>
    <row r="664" spans="1:1">
      <c r="A664" s="22" t="s">
        <v>219</v>
      </c>
    </row>
    <row r="665" spans="1:1">
      <c r="A665" s="22" t="s">
        <v>220</v>
      </c>
    </row>
    <row r="666" spans="1:1">
      <c r="A666" s="22" t="s">
        <v>221</v>
      </c>
    </row>
    <row r="667" spans="1:1">
      <c r="A667" s="22" t="s">
        <v>222</v>
      </c>
    </row>
    <row r="668" spans="1:1">
      <c r="A668" s="22" t="s">
        <v>223</v>
      </c>
    </row>
    <row r="669" spans="1:1">
      <c r="A669" s="22" t="s">
        <v>224</v>
      </c>
    </row>
    <row r="670" spans="1:1">
      <c r="A670" s="22" t="s">
        <v>225</v>
      </c>
    </row>
    <row r="671" spans="1:1">
      <c r="A671" s="22" t="s">
        <v>226</v>
      </c>
    </row>
    <row r="672" spans="1:1">
      <c r="A672" s="22" t="s">
        <v>227</v>
      </c>
    </row>
    <row r="673" spans="1:1">
      <c r="A673" s="22" t="s">
        <v>228</v>
      </c>
    </row>
    <row r="674" spans="1:1">
      <c r="A674" s="22" t="s">
        <v>229</v>
      </c>
    </row>
    <row r="675" spans="1:1">
      <c r="A675" s="22" t="s">
        <v>230</v>
      </c>
    </row>
    <row r="676" spans="1:1">
      <c r="A676" s="22" t="s">
        <v>231</v>
      </c>
    </row>
    <row r="677" spans="1:1">
      <c r="A677" s="22" t="s">
        <v>232</v>
      </c>
    </row>
    <row r="678" spans="1:1">
      <c r="A678" s="22" t="s">
        <v>233</v>
      </c>
    </row>
    <row r="679" spans="1:1">
      <c r="A679" s="22" t="s">
        <v>234</v>
      </c>
    </row>
    <row r="680" spans="1:1">
      <c r="A680" s="22" t="s">
        <v>235</v>
      </c>
    </row>
    <row r="681" spans="1:1">
      <c r="A681" s="22" t="s">
        <v>236</v>
      </c>
    </row>
    <row r="682" spans="1:1">
      <c r="A682" s="22" t="s">
        <v>237</v>
      </c>
    </row>
    <row r="683" spans="1:1">
      <c r="A683" s="22" t="s">
        <v>238</v>
      </c>
    </row>
    <row r="684" spans="1:1">
      <c r="A684" s="22" t="s">
        <v>239</v>
      </c>
    </row>
    <row r="685" spans="1:1">
      <c r="A685" s="22" t="s">
        <v>240</v>
      </c>
    </row>
    <row r="686" spans="1:1">
      <c r="A686" s="22" t="s">
        <v>241</v>
      </c>
    </row>
    <row r="687" spans="1:1">
      <c r="A687" s="22" t="s">
        <v>242</v>
      </c>
    </row>
    <row r="688" spans="1:1">
      <c r="A688" s="22" t="s">
        <v>243</v>
      </c>
    </row>
    <row r="689" spans="1:1">
      <c r="A689" s="22" t="s">
        <v>244</v>
      </c>
    </row>
    <row r="690" spans="1:1">
      <c r="A690" s="22" t="s">
        <v>245</v>
      </c>
    </row>
    <row r="691" spans="1:1">
      <c r="A691" s="22" t="s">
        <v>246</v>
      </c>
    </row>
    <row r="692" spans="1:1">
      <c r="A692" s="22" t="s">
        <v>247</v>
      </c>
    </row>
    <row r="693" spans="1:1">
      <c r="A693" s="22" t="s">
        <v>248</v>
      </c>
    </row>
    <row r="694" spans="1:1">
      <c r="A694" s="22" t="s">
        <v>249</v>
      </c>
    </row>
    <row r="695" spans="1:1">
      <c r="A695" s="22" t="s">
        <v>250</v>
      </c>
    </row>
    <row r="696" spans="1:1">
      <c r="A696" s="22" t="s">
        <v>251</v>
      </c>
    </row>
    <row r="697" spans="1:1">
      <c r="A697" s="22" t="s">
        <v>252</v>
      </c>
    </row>
    <row r="698" spans="1:1">
      <c r="A698" s="22" t="s">
        <v>253</v>
      </c>
    </row>
    <row r="699" spans="1:1">
      <c r="A699" s="22" t="s">
        <v>254</v>
      </c>
    </row>
    <row r="700" spans="1:1">
      <c r="A700" s="22" t="s">
        <v>255</v>
      </c>
    </row>
    <row r="701" spans="1:1">
      <c r="A701" s="22" t="s">
        <v>256</v>
      </c>
    </row>
    <row r="702" spans="1:1">
      <c r="A702" s="22" t="s">
        <v>257</v>
      </c>
    </row>
    <row r="703" spans="1:1">
      <c r="A703" s="22" t="s">
        <v>258</v>
      </c>
    </row>
    <row r="704" spans="1:1">
      <c r="A704" s="22" t="s">
        <v>259</v>
      </c>
    </row>
    <row r="705" spans="1:1">
      <c r="A705" s="22" t="s">
        <v>260</v>
      </c>
    </row>
    <row r="706" spans="1:1">
      <c r="A706" s="22" t="s">
        <v>261</v>
      </c>
    </row>
    <row r="707" spans="1:1">
      <c r="A707" s="22" t="s">
        <v>262</v>
      </c>
    </row>
    <row r="708" spans="1:1">
      <c r="A708" s="22" t="s">
        <v>263</v>
      </c>
    </row>
    <row r="709" spans="1:1">
      <c r="A709" s="22" t="s">
        <v>264</v>
      </c>
    </row>
    <row r="710" spans="1:1">
      <c r="A710" s="22" t="s">
        <v>265</v>
      </c>
    </row>
    <row r="711" spans="1:1">
      <c r="A711" s="22" t="s">
        <v>266</v>
      </c>
    </row>
    <row r="712" spans="1:1">
      <c r="A712" s="22" t="s">
        <v>267</v>
      </c>
    </row>
    <row r="713" spans="1:1">
      <c r="A713" s="22" t="s">
        <v>268</v>
      </c>
    </row>
    <row r="714" spans="1:1">
      <c r="A714" s="22" t="s">
        <v>269</v>
      </c>
    </row>
    <row r="715" spans="1:1">
      <c r="A715" s="22" t="s">
        <v>270</v>
      </c>
    </row>
    <row r="716" spans="1:1">
      <c r="A716" s="22" t="s">
        <v>271</v>
      </c>
    </row>
    <row r="717" spans="1:1">
      <c r="A717" s="22" t="s">
        <v>272</v>
      </c>
    </row>
    <row r="718" spans="1:1">
      <c r="A718" s="22" t="s">
        <v>273</v>
      </c>
    </row>
    <row r="719" spans="1:1">
      <c r="A719" s="22" t="s">
        <v>274</v>
      </c>
    </row>
    <row r="720" spans="1:1">
      <c r="A720" s="22" t="s">
        <v>275</v>
      </c>
    </row>
    <row r="721" spans="1:1">
      <c r="A721" s="22" t="s">
        <v>276</v>
      </c>
    </row>
    <row r="722" spans="1:1">
      <c r="A722" s="22" t="s">
        <v>277</v>
      </c>
    </row>
    <row r="723" spans="1:1">
      <c r="A723" s="22" t="s">
        <v>278</v>
      </c>
    </row>
    <row r="724" spans="1:1">
      <c r="A724" s="22" t="s">
        <v>279</v>
      </c>
    </row>
    <row r="725" spans="1:1">
      <c r="A725" s="22" t="s">
        <v>280</v>
      </c>
    </row>
    <row r="726" spans="1:1">
      <c r="A726" s="22" t="s">
        <v>281</v>
      </c>
    </row>
    <row r="727" spans="1:1">
      <c r="A727" s="22" t="s">
        <v>282</v>
      </c>
    </row>
    <row r="728" spans="1:1">
      <c r="A728" s="22" t="s">
        <v>283</v>
      </c>
    </row>
    <row r="729" spans="1:1">
      <c r="A729" s="22" t="s">
        <v>284</v>
      </c>
    </row>
    <row r="730" spans="1:1">
      <c r="A730" s="22" t="s">
        <v>285</v>
      </c>
    </row>
    <row r="731" spans="1:1">
      <c r="A731" s="22" t="s">
        <v>286</v>
      </c>
    </row>
    <row r="732" spans="1:1">
      <c r="A732" s="22" t="s">
        <v>287</v>
      </c>
    </row>
    <row r="733" spans="1:1">
      <c r="A733" s="22" t="s">
        <v>288</v>
      </c>
    </row>
    <row r="734" spans="1:1">
      <c r="A734" s="22" t="s">
        <v>289</v>
      </c>
    </row>
    <row r="735" spans="1:1">
      <c r="A735" s="22" t="s">
        <v>290</v>
      </c>
    </row>
    <row r="736" spans="1:1">
      <c r="A736" s="22" t="s">
        <v>291</v>
      </c>
    </row>
    <row r="737" spans="1:1">
      <c r="A737" s="22" t="s">
        <v>292</v>
      </c>
    </row>
    <row r="738" spans="1:1">
      <c r="A738" s="22" t="s">
        <v>293</v>
      </c>
    </row>
    <row r="739" spans="1:1">
      <c r="A739" s="22" t="s">
        <v>294</v>
      </c>
    </row>
    <row r="740" spans="1:1">
      <c r="A740" s="22" t="s">
        <v>295</v>
      </c>
    </row>
    <row r="741" spans="1:1">
      <c r="A741" s="22" t="s">
        <v>296</v>
      </c>
    </row>
    <row r="742" spans="1:1">
      <c r="A742" s="22" t="s">
        <v>297</v>
      </c>
    </row>
    <row r="743" spans="1:1">
      <c r="A743" s="22" t="s">
        <v>298</v>
      </c>
    </row>
    <row r="744" spans="1:1">
      <c r="A744" s="22" t="s">
        <v>299</v>
      </c>
    </row>
    <row r="745" spans="1:1">
      <c r="A745" s="22" t="s">
        <v>300</v>
      </c>
    </row>
    <row r="746" spans="1:1">
      <c r="A746" s="22" t="s">
        <v>301</v>
      </c>
    </row>
    <row r="747" spans="1:1">
      <c r="A747" s="22" t="s">
        <v>302</v>
      </c>
    </row>
    <row r="748" spans="1:1">
      <c r="A748" s="22" t="s">
        <v>303</v>
      </c>
    </row>
    <row r="749" spans="1:1">
      <c r="A749" s="22" t="s">
        <v>304</v>
      </c>
    </row>
    <row r="750" spans="1:1">
      <c r="A750" s="22" t="s">
        <v>305</v>
      </c>
    </row>
    <row r="751" spans="1:1">
      <c r="A751" s="22" t="s">
        <v>306</v>
      </c>
    </row>
    <row r="752" spans="1:1">
      <c r="A752" s="22" t="s">
        <v>307</v>
      </c>
    </row>
    <row r="753" spans="1:1">
      <c r="A753" s="22" t="s">
        <v>308</v>
      </c>
    </row>
    <row r="754" spans="1:1">
      <c r="A754" s="22" t="s">
        <v>309</v>
      </c>
    </row>
    <row r="755" spans="1:1">
      <c r="A755" s="22" t="s">
        <v>310</v>
      </c>
    </row>
    <row r="756" spans="1:1">
      <c r="A756" s="22" t="s">
        <v>311</v>
      </c>
    </row>
    <row r="757" spans="1:1">
      <c r="A757" s="22" t="s">
        <v>312</v>
      </c>
    </row>
    <row r="758" spans="1:1">
      <c r="A758" s="22" t="s">
        <v>313</v>
      </c>
    </row>
    <row r="759" spans="1:1">
      <c r="A759" s="22" t="s">
        <v>314</v>
      </c>
    </row>
    <row r="760" spans="1:1">
      <c r="A760" s="22" t="s">
        <v>315</v>
      </c>
    </row>
    <row r="761" spans="1:1">
      <c r="A761" s="22" t="s">
        <v>316</v>
      </c>
    </row>
    <row r="762" spans="1:1">
      <c r="A762" s="22" t="s">
        <v>317</v>
      </c>
    </row>
    <row r="763" spans="1:1">
      <c r="A763" s="22" t="s">
        <v>318</v>
      </c>
    </row>
    <row r="764" spans="1:1">
      <c r="A764" s="22" t="s">
        <v>319</v>
      </c>
    </row>
    <row r="765" spans="1:1">
      <c r="A765" s="22" t="s">
        <v>320</v>
      </c>
    </row>
    <row r="766" spans="1:1">
      <c r="A766" s="22" t="s">
        <v>321</v>
      </c>
    </row>
    <row r="767" spans="1:1">
      <c r="A767" s="22" t="s">
        <v>322</v>
      </c>
    </row>
    <row r="768" spans="1:1">
      <c r="A768" s="22" t="s">
        <v>323</v>
      </c>
    </row>
    <row r="769" spans="1:1">
      <c r="A769" s="22" t="s">
        <v>324</v>
      </c>
    </row>
    <row r="770" spans="1:1">
      <c r="A770" s="22" t="s">
        <v>325</v>
      </c>
    </row>
    <row r="771" spans="1:1">
      <c r="A771" s="22" t="s">
        <v>326</v>
      </c>
    </row>
    <row r="772" spans="1:1">
      <c r="A772" s="22" t="s">
        <v>327</v>
      </c>
    </row>
    <row r="773" spans="1:1">
      <c r="A773" s="22" t="s">
        <v>328</v>
      </c>
    </row>
    <row r="774" spans="1:1">
      <c r="A774" s="22" t="s">
        <v>329</v>
      </c>
    </row>
    <row r="775" spans="1:1">
      <c r="A775" s="22" t="s">
        <v>330</v>
      </c>
    </row>
    <row r="776" spans="1:1">
      <c r="A776" s="22" t="s">
        <v>331</v>
      </c>
    </row>
    <row r="777" spans="1:1">
      <c r="A777" s="22" t="s">
        <v>332</v>
      </c>
    </row>
    <row r="778" spans="1:1">
      <c r="A778" s="22" t="s">
        <v>333</v>
      </c>
    </row>
    <row r="779" spans="1:1">
      <c r="A779" s="22" t="s">
        <v>334</v>
      </c>
    </row>
    <row r="780" spans="1:1">
      <c r="A780" s="22" t="s">
        <v>335</v>
      </c>
    </row>
    <row r="781" spans="1:1">
      <c r="A781" s="22" t="s">
        <v>336</v>
      </c>
    </row>
    <row r="782" spans="1:1">
      <c r="A782" s="22" t="s">
        <v>337</v>
      </c>
    </row>
    <row r="783" spans="1:1">
      <c r="A783" s="22" t="s">
        <v>338</v>
      </c>
    </row>
    <row r="784" spans="1:1">
      <c r="A784" s="22" t="s">
        <v>339</v>
      </c>
    </row>
    <row r="785" spans="1:1">
      <c r="A785" s="22" t="s">
        <v>340</v>
      </c>
    </row>
    <row r="786" spans="1:1">
      <c r="A786" s="22" t="s">
        <v>341</v>
      </c>
    </row>
    <row r="787" spans="1:1">
      <c r="A787" s="22" t="s">
        <v>342</v>
      </c>
    </row>
    <row r="788" spans="1:1">
      <c r="A788" s="22" t="s">
        <v>343</v>
      </c>
    </row>
    <row r="789" spans="1:1">
      <c r="A789" s="22" t="s">
        <v>344</v>
      </c>
    </row>
    <row r="790" spans="1:1">
      <c r="A790" s="22" t="s">
        <v>345</v>
      </c>
    </row>
    <row r="791" spans="1:1">
      <c r="A791" s="22" t="s">
        <v>346</v>
      </c>
    </row>
    <row r="792" spans="1:1">
      <c r="A792" s="22" t="s">
        <v>347</v>
      </c>
    </row>
    <row r="793" spans="1:1">
      <c r="A793" s="22" t="s">
        <v>348</v>
      </c>
    </row>
    <row r="794" spans="1:1">
      <c r="A794" s="22" t="s">
        <v>349</v>
      </c>
    </row>
    <row r="795" spans="1:1">
      <c r="A795" s="22" t="s">
        <v>350</v>
      </c>
    </row>
    <row r="796" spans="1:1">
      <c r="A796" s="22" t="s">
        <v>351</v>
      </c>
    </row>
    <row r="797" spans="1:1">
      <c r="A797" s="22" t="s">
        <v>352</v>
      </c>
    </row>
    <row r="798" spans="1:1">
      <c r="A798" s="22" t="s">
        <v>353</v>
      </c>
    </row>
    <row r="799" spans="1:1">
      <c r="A799" s="22" t="s">
        <v>354</v>
      </c>
    </row>
    <row r="800" spans="1:1">
      <c r="A800" s="22" t="s">
        <v>355</v>
      </c>
    </row>
    <row r="801" spans="1:1">
      <c r="A801" s="22" t="s">
        <v>356</v>
      </c>
    </row>
    <row r="802" spans="1:1">
      <c r="A802" s="22" t="s">
        <v>357</v>
      </c>
    </row>
    <row r="803" spans="1:1">
      <c r="A803" s="22" t="s">
        <v>358</v>
      </c>
    </row>
    <row r="804" spans="1:1">
      <c r="A804" s="22" t="s">
        <v>359</v>
      </c>
    </row>
    <row r="805" spans="1:1">
      <c r="A805" s="22" t="s">
        <v>360</v>
      </c>
    </row>
    <row r="806" spans="1:1">
      <c r="A806" s="22" t="s">
        <v>361</v>
      </c>
    </row>
    <row r="807" spans="1:1">
      <c r="A807" s="22" t="s">
        <v>362</v>
      </c>
    </row>
    <row r="808" spans="1:1">
      <c r="A808" s="22" t="s">
        <v>363</v>
      </c>
    </row>
    <row r="809" spans="1:1">
      <c r="A809" s="22" t="s">
        <v>364</v>
      </c>
    </row>
    <row r="810" spans="1:1">
      <c r="A810" s="22" t="s">
        <v>365</v>
      </c>
    </row>
    <row r="811" spans="1:1">
      <c r="A811" s="22" t="s">
        <v>366</v>
      </c>
    </row>
    <row r="812" spans="1:1">
      <c r="A812" s="22" t="s">
        <v>367</v>
      </c>
    </row>
    <row r="813" spans="1:1">
      <c r="A813" s="22" t="s">
        <v>368</v>
      </c>
    </row>
    <row r="814" spans="1:1">
      <c r="A814" s="22" t="s">
        <v>369</v>
      </c>
    </row>
    <row r="815" spans="1:1">
      <c r="A815" s="22" t="s">
        <v>370</v>
      </c>
    </row>
    <row r="816" spans="1:1">
      <c r="A816" s="22" t="s">
        <v>371</v>
      </c>
    </row>
    <row r="817" spans="1:1">
      <c r="A817" s="22" t="s">
        <v>372</v>
      </c>
    </row>
    <row r="818" spans="1:1">
      <c r="A818" s="22" t="s">
        <v>373</v>
      </c>
    </row>
    <row r="819" spans="1:1">
      <c r="A819" s="22" t="s">
        <v>374</v>
      </c>
    </row>
    <row r="820" spans="1:1">
      <c r="A820" s="22" t="s">
        <v>375</v>
      </c>
    </row>
    <row r="821" spans="1:1">
      <c r="A821" s="22" t="s">
        <v>376</v>
      </c>
    </row>
    <row r="822" spans="1:1">
      <c r="A822" s="22" t="s">
        <v>377</v>
      </c>
    </row>
    <row r="823" spans="1:1">
      <c r="A823" s="22" t="s">
        <v>378</v>
      </c>
    </row>
    <row r="824" spans="1:1">
      <c r="A824" s="22" t="s">
        <v>379</v>
      </c>
    </row>
    <row r="825" spans="1:1">
      <c r="A825" s="22" t="s">
        <v>380</v>
      </c>
    </row>
    <row r="826" spans="1:1">
      <c r="A826" s="22" t="s">
        <v>381</v>
      </c>
    </row>
    <row r="827" spans="1:1">
      <c r="A827" s="22" t="s">
        <v>382</v>
      </c>
    </row>
    <row r="828" spans="1:1">
      <c r="A828" s="22" t="s">
        <v>383</v>
      </c>
    </row>
    <row r="829" spans="1:1">
      <c r="A829" s="22" t="s">
        <v>384</v>
      </c>
    </row>
    <row r="830" spans="1:1">
      <c r="A830" s="22" t="s">
        <v>385</v>
      </c>
    </row>
    <row r="831" spans="1:1">
      <c r="A831" s="22" t="s">
        <v>386</v>
      </c>
    </row>
    <row r="832" spans="1:1">
      <c r="A832" s="22" t="s">
        <v>387</v>
      </c>
    </row>
    <row r="833" spans="1:1">
      <c r="A833" s="22" t="s">
        <v>388</v>
      </c>
    </row>
    <row r="834" spans="1:1">
      <c r="A834" s="22" t="s">
        <v>389</v>
      </c>
    </row>
    <row r="835" spans="1:1">
      <c r="A835" s="22" t="s">
        <v>390</v>
      </c>
    </row>
    <row r="836" spans="1:1">
      <c r="A836" s="22" t="s">
        <v>391</v>
      </c>
    </row>
    <row r="837" spans="1:1">
      <c r="A837" s="22" t="s">
        <v>392</v>
      </c>
    </row>
    <row r="838" spans="1:1">
      <c r="A838" s="22" t="s">
        <v>393</v>
      </c>
    </row>
    <row r="839" spans="1:1">
      <c r="A839" s="22" t="s">
        <v>394</v>
      </c>
    </row>
    <row r="840" spans="1:1">
      <c r="A840" s="22" t="s">
        <v>395</v>
      </c>
    </row>
    <row r="841" spans="1:1">
      <c r="A841" s="22" t="s">
        <v>396</v>
      </c>
    </row>
    <row r="842" spans="1:1">
      <c r="A842" s="22" t="s">
        <v>397</v>
      </c>
    </row>
    <row r="843" spans="1:1">
      <c r="A843" s="22" t="s">
        <v>398</v>
      </c>
    </row>
    <row r="844" spans="1:1">
      <c r="A844" s="22" t="s">
        <v>399</v>
      </c>
    </row>
    <row r="845" spans="1:1">
      <c r="A845" s="22" t="s">
        <v>400</v>
      </c>
    </row>
    <row r="846" spans="1:1">
      <c r="A846" s="22" t="s">
        <v>401</v>
      </c>
    </row>
    <row r="847" spans="1:1">
      <c r="A847" s="22" t="s">
        <v>402</v>
      </c>
    </row>
    <row r="848" spans="1:1">
      <c r="A848" s="22" t="s">
        <v>403</v>
      </c>
    </row>
    <row r="849" spans="1:1">
      <c r="A849" s="22" t="s">
        <v>404</v>
      </c>
    </row>
    <row r="850" spans="1:1">
      <c r="A850" s="22" t="s">
        <v>405</v>
      </c>
    </row>
    <row r="851" spans="1:1">
      <c r="A851" s="22" t="s">
        <v>406</v>
      </c>
    </row>
    <row r="852" spans="1:1">
      <c r="A852" s="22" t="s">
        <v>407</v>
      </c>
    </row>
    <row r="853" spans="1:1">
      <c r="A853" s="22" t="s">
        <v>408</v>
      </c>
    </row>
    <row r="854" spans="1:1">
      <c r="A854" s="22" t="s">
        <v>409</v>
      </c>
    </row>
    <row r="855" spans="1:1">
      <c r="A855" s="22" t="s">
        <v>410</v>
      </c>
    </row>
    <row r="856" spans="1:1">
      <c r="A856" s="22" t="s">
        <v>411</v>
      </c>
    </row>
    <row r="857" spans="1:1">
      <c r="A857" s="22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1:O22"/>
  <sheetViews>
    <sheetView workbookViewId="0"/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57.140625" bestFit="1" customWidth="1"/>
    <col min="7" max="7" width="2.140625" style="33" bestFit="1" customWidth="1"/>
    <col min="8" max="8" width="30" customWidth="1"/>
    <col min="9" max="9" width="11" bestFit="1" customWidth="1"/>
    <col min="10" max="10" width="2.140625" bestFit="1" customWidth="1"/>
    <col min="11" max="11" width="19.5703125" bestFit="1" customWidth="1"/>
    <col min="12" max="12" width="22.42578125" bestFit="1" customWidth="1"/>
    <col min="13" max="13" width="2.140625" bestFit="1" customWidth="1"/>
    <col min="14" max="14" width="21.85546875" bestFit="1" customWidth="1"/>
    <col min="15" max="15" width="56.28515625" bestFit="1" customWidth="1"/>
  </cols>
  <sheetData>
    <row r="1" spans="1:15" ht="15.75" thickBot="1">
      <c r="A1" s="33" t="s">
        <v>1135</v>
      </c>
      <c r="B1" s="475" t="s">
        <v>1134</v>
      </c>
      <c r="C1" s="476"/>
      <c r="D1" s="33" t="s">
        <v>1135</v>
      </c>
      <c r="E1" s="477" t="s">
        <v>1136</v>
      </c>
      <c r="F1" s="478"/>
      <c r="G1" s="33" t="s">
        <v>1135</v>
      </c>
      <c r="H1" s="43" t="s">
        <v>1152</v>
      </c>
      <c r="I1" s="44" t="s">
        <v>1153</v>
      </c>
      <c r="J1" s="33" t="s">
        <v>1135</v>
      </c>
      <c r="K1" s="479" t="s">
        <v>1337</v>
      </c>
      <c r="L1" s="480"/>
      <c r="M1" s="33" t="s">
        <v>1135</v>
      </c>
      <c r="N1" s="481" t="s">
        <v>1348</v>
      </c>
      <c r="O1" s="482"/>
    </row>
    <row r="2" spans="1:15">
      <c r="A2" s="33"/>
      <c r="B2" s="34" t="s">
        <v>1137</v>
      </c>
      <c r="C2" s="35" t="str">
        <f>VLOOKUP(C3,H1:I12,2,FALSE)</f>
        <v>MySQL</v>
      </c>
      <c r="D2" s="33"/>
      <c r="E2" s="34" t="s">
        <v>1137</v>
      </c>
      <c r="F2" s="35" t="str">
        <f>VLOOKUP(F3,H1:I12,2,FALSE)</f>
        <v>Access2003</v>
      </c>
      <c r="H2" s="42" t="s">
        <v>1154</v>
      </c>
      <c r="I2" s="42" t="s">
        <v>1155</v>
      </c>
      <c r="K2" s="302" t="s">
        <v>1338</v>
      </c>
      <c r="L2" s="305" t="s">
        <v>1343</v>
      </c>
      <c r="N2" s="302" t="s">
        <v>1350</v>
      </c>
      <c r="O2" s="42" t="str">
        <f>pathWorkSheetAddress()&amp; "db\"</f>
        <v>E:\140825-1321\db\</v>
      </c>
    </row>
    <row r="3" spans="1:15">
      <c r="A3" s="33"/>
      <c r="B3" s="36" t="s">
        <v>1138</v>
      </c>
      <c r="C3" s="37" t="s">
        <v>1196</v>
      </c>
      <c r="D3" s="33"/>
      <c r="E3" s="36" t="s">
        <v>1138</v>
      </c>
      <c r="F3" s="37" t="s">
        <v>1140</v>
      </c>
      <c r="H3" s="41" t="s">
        <v>1140</v>
      </c>
      <c r="I3" s="41" t="s">
        <v>1156</v>
      </c>
      <c r="K3" s="303" t="s">
        <v>1339</v>
      </c>
      <c r="L3" s="306" t="s">
        <v>1344</v>
      </c>
      <c r="N3" s="302" t="s">
        <v>1351</v>
      </c>
      <c r="O3" s="42" t="s">
        <v>1349</v>
      </c>
    </row>
    <row r="4" spans="1:15">
      <c r="A4" s="33"/>
      <c r="B4" s="36" t="s">
        <v>1141</v>
      </c>
      <c r="C4" s="37" t="s">
        <v>1142</v>
      </c>
      <c r="D4" s="33"/>
      <c r="E4" s="36" t="s">
        <v>1141</v>
      </c>
      <c r="F4" s="37" t="str">
        <f>pathWorkSheetAddress()&amp; "db\"</f>
        <v>E:\140825-1321\db\</v>
      </c>
      <c r="H4" s="41" t="s">
        <v>1157</v>
      </c>
      <c r="I4" s="41" t="s">
        <v>1158</v>
      </c>
      <c r="K4" s="303" t="s">
        <v>1340</v>
      </c>
      <c r="L4" s="306" t="s">
        <v>1345</v>
      </c>
    </row>
    <row r="5" spans="1:15">
      <c r="A5" s="33"/>
      <c r="B5" s="36" t="s">
        <v>1143</v>
      </c>
      <c r="C5" s="37" t="s">
        <v>1144</v>
      </c>
      <c r="D5" s="33"/>
      <c r="E5" s="36" t="s">
        <v>1143</v>
      </c>
      <c r="F5" s="37" t="str">
        <f>getFileNameAndExt(OLD!B1)</f>
        <v>dbOrcamentos.mdb</v>
      </c>
      <c r="H5" s="41" t="s">
        <v>1139</v>
      </c>
      <c r="I5" s="41" t="s">
        <v>1159</v>
      </c>
      <c r="K5" s="303" t="s">
        <v>1341</v>
      </c>
      <c r="L5" s="306" t="s">
        <v>1346</v>
      </c>
    </row>
    <row r="6" spans="1:15">
      <c r="A6" s="33"/>
      <c r="B6" s="36" t="s">
        <v>1145</v>
      </c>
      <c r="C6" s="37" t="s">
        <v>1146</v>
      </c>
      <c r="D6" s="33"/>
      <c r="E6" s="36" t="s">
        <v>1145</v>
      </c>
      <c r="F6" s="37" t="s">
        <v>1147</v>
      </c>
      <c r="H6" s="41" t="s">
        <v>1160</v>
      </c>
      <c r="I6" s="41" t="s">
        <v>1161</v>
      </c>
      <c r="K6" s="303" t="s">
        <v>1342</v>
      </c>
      <c r="L6" s="304" t="s">
        <v>1347</v>
      </c>
    </row>
    <row r="7" spans="1:15">
      <c r="A7" s="33"/>
      <c r="B7" s="36" t="s">
        <v>1148</v>
      </c>
      <c r="C7" s="37" t="s">
        <v>1149</v>
      </c>
      <c r="D7" s="33"/>
      <c r="E7" s="36" t="s">
        <v>1148</v>
      </c>
      <c r="F7" s="37" t="s">
        <v>1150</v>
      </c>
      <c r="H7" s="41" t="s">
        <v>1196</v>
      </c>
      <c r="I7" s="41" t="s">
        <v>1159</v>
      </c>
    </row>
    <row r="8" spans="1:15" ht="15.75" thickBot="1">
      <c r="A8" s="33"/>
      <c r="B8" s="38" t="s">
        <v>1151</v>
      </c>
      <c r="C8" s="39">
        <v>3306</v>
      </c>
      <c r="D8" s="33"/>
      <c r="E8" s="38" t="s">
        <v>1151</v>
      </c>
      <c r="F8" s="39"/>
      <c r="H8" s="41"/>
      <c r="I8" s="41"/>
    </row>
    <row r="9" spans="1:15">
      <c r="H9" s="41"/>
      <c r="I9" s="41"/>
    </row>
    <row r="10" spans="1:15">
      <c r="H10" s="41"/>
      <c r="I10" s="41"/>
    </row>
    <row r="11" spans="1:15">
      <c r="H11" s="41"/>
      <c r="I11" s="41"/>
    </row>
    <row r="12" spans="1:15">
      <c r="B12" t="s">
        <v>1141</v>
      </c>
      <c r="C12" t="s">
        <v>1142</v>
      </c>
      <c r="E12" s="104"/>
      <c r="F12" s="104"/>
      <c r="H12" s="41"/>
      <c r="I12" s="41"/>
    </row>
    <row r="13" spans="1:15">
      <c r="B13" t="s">
        <v>1143</v>
      </c>
      <c r="C13" t="s">
        <v>1144</v>
      </c>
      <c r="E13" s="105"/>
      <c r="F13" s="105"/>
    </row>
    <row r="14" spans="1:15">
      <c r="B14" t="s">
        <v>1145</v>
      </c>
      <c r="C14" t="s">
        <v>1146</v>
      </c>
      <c r="E14" s="104"/>
      <c r="F14" s="104"/>
    </row>
    <row r="15" spans="1:15">
      <c r="B15" t="s">
        <v>1148</v>
      </c>
      <c r="C15" t="s">
        <v>1149</v>
      </c>
      <c r="E15" s="104"/>
      <c r="F15" s="104"/>
    </row>
    <row r="16" spans="1:15">
      <c r="B16" t="s">
        <v>1151</v>
      </c>
      <c r="C16">
        <v>3306</v>
      </c>
      <c r="E16" s="105"/>
      <c r="F16" s="105"/>
    </row>
    <row r="18" spans="2:3">
      <c r="B18" t="s">
        <v>1141</v>
      </c>
      <c r="C18" t="s">
        <v>1186</v>
      </c>
    </row>
    <row r="19" spans="2:3">
      <c r="B19" t="s">
        <v>1143</v>
      </c>
      <c r="C19" t="s">
        <v>1185</v>
      </c>
    </row>
    <row r="20" spans="2:3">
      <c r="B20" t="s">
        <v>1145</v>
      </c>
      <c r="C20" t="s">
        <v>1184</v>
      </c>
    </row>
    <row r="21" spans="2:3">
      <c r="B21" t="s">
        <v>1148</v>
      </c>
      <c r="C21" t="s">
        <v>1149</v>
      </c>
    </row>
    <row r="22" spans="2:3">
      <c r="B22" t="s">
        <v>1151</v>
      </c>
      <c r="C22">
        <v>3306</v>
      </c>
    </row>
  </sheetData>
  <mergeCells count="4">
    <mergeCell ref="B1:C1"/>
    <mergeCell ref="E1:F1"/>
    <mergeCell ref="K1:L1"/>
    <mergeCell ref="N1:O1"/>
  </mergeCells>
  <dataValidations count="1">
    <dataValidation type="list" allowBlank="1" showInputMessage="1" showErrorMessage="1" sqref="C3 F3">
      <formula1>DRIVERS</formula1>
    </dataValidation>
  </dataValidations>
  <hyperlinks>
    <hyperlink ref="L6" r:id="rId1"/>
  </hyperlinks>
  <pageMargins left="0.511811024" right="0.511811024" top="0.78740157499999996" bottom="0.78740157499999996" header="0.31496062000000002" footer="0.31496062000000002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2" sqref="A2:E22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459" t="s">
        <v>1239</v>
      </c>
      <c r="T1" s="459"/>
      <c r="U1" s="459"/>
    </row>
    <row r="2" spans="1:29" ht="21">
      <c r="B2" s="397" t="s">
        <v>626</v>
      </c>
      <c r="C2" s="397"/>
      <c r="D2" s="397"/>
      <c r="G2" s="397" t="s">
        <v>1234</v>
      </c>
      <c r="H2" s="397"/>
      <c r="I2" s="397"/>
      <c r="J2" s="397"/>
      <c r="L2" s="397" t="s">
        <v>1237</v>
      </c>
      <c r="M2" s="397"/>
      <c r="N2" s="397"/>
      <c r="O2" s="397"/>
      <c r="P2" s="397"/>
      <c r="S2" s="459" t="s">
        <v>1240</v>
      </c>
      <c r="T2" s="459"/>
      <c r="U2" s="459"/>
      <c r="X2" s="460" t="s">
        <v>1253</v>
      </c>
      <c r="Y2" s="461"/>
      <c r="Z2" s="461"/>
      <c r="AA2" s="461"/>
      <c r="AB2" s="461"/>
      <c r="AC2" s="462"/>
    </row>
    <row r="3" spans="1:29" ht="15.75">
      <c r="A3" s="15" t="s">
        <v>1275</v>
      </c>
      <c r="B3" s="15" t="s">
        <v>598</v>
      </c>
      <c r="C3" s="15" t="s">
        <v>627</v>
      </c>
      <c r="D3" s="15" t="s">
        <v>628</v>
      </c>
      <c r="E3" s="15" t="s">
        <v>590</v>
      </c>
      <c r="G3" s="15" t="s">
        <v>1232</v>
      </c>
      <c r="H3" s="15" t="s">
        <v>1231</v>
      </c>
      <c r="I3" s="15" t="s">
        <v>590</v>
      </c>
      <c r="J3" s="15" t="s">
        <v>1233</v>
      </c>
      <c r="L3" s="15" t="s">
        <v>1236</v>
      </c>
      <c r="M3" s="15" t="s">
        <v>1260</v>
      </c>
      <c r="N3" s="15" t="s">
        <v>1262</v>
      </c>
      <c r="O3" s="15" t="s">
        <v>1235</v>
      </c>
      <c r="P3" s="15" t="s">
        <v>1238</v>
      </c>
      <c r="S3" s="122" t="s">
        <v>1241</v>
      </c>
      <c r="T3" s="122" t="s">
        <v>1242</v>
      </c>
      <c r="U3" s="122" t="s">
        <v>1243</v>
      </c>
      <c r="X3" s="41" t="s">
        <v>1256</v>
      </c>
      <c r="Y3" s="127" t="s">
        <v>1259</v>
      </c>
      <c r="Z3" s="41" t="s">
        <v>1257</v>
      </c>
      <c r="AA3" s="41" t="s">
        <v>1254</v>
      </c>
      <c r="AB3" s="41" t="s">
        <v>1255</v>
      </c>
      <c r="AC3" s="41" t="s">
        <v>1258</v>
      </c>
    </row>
    <row r="4" spans="1:29">
      <c r="A4" s="41">
        <v>11</v>
      </c>
      <c r="B4" s="107" t="s">
        <v>1217</v>
      </c>
      <c r="C4" s="114" t="s">
        <v>1208</v>
      </c>
      <c r="D4" s="114" t="s">
        <v>1209</v>
      </c>
      <c r="E4" s="120" t="s">
        <v>1230</v>
      </c>
      <c r="G4" s="106">
        <v>4</v>
      </c>
      <c r="H4" s="136">
        <v>460</v>
      </c>
      <c r="I4" s="41" t="s">
        <v>1162</v>
      </c>
      <c r="J4" s="118" t="s">
        <v>1229</v>
      </c>
      <c r="L4" s="41" t="s">
        <v>1261</v>
      </c>
      <c r="M4" s="130">
        <f>(P4-N4)/(1-O4)</f>
        <v>3738.116129032258</v>
      </c>
      <c r="N4" s="131">
        <v>602.96</v>
      </c>
      <c r="O4" s="132">
        <v>0.22500000000000001</v>
      </c>
      <c r="P4" s="121">
        <v>3500</v>
      </c>
      <c r="S4" s="123" t="s">
        <v>1244</v>
      </c>
      <c r="T4" s="124" t="s">
        <v>1245</v>
      </c>
      <c r="U4" s="124" t="s">
        <v>1245</v>
      </c>
      <c r="X4" s="41">
        <v>1000</v>
      </c>
      <c r="Y4" s="127">
        <v>5786</v>
      </c>
      <c r="Z4" s="129">
        <f>(Y4+(360*4))/X4</f>
        <v>7.226</v>
      </c>
      <c r="AA4" s="121">
        <v>1.85</v>
      </c>
      <c r="AB4" s="128">
        <f>AA4*Z4</f>
        <v>13.3681</v>
      </c>
      <c r="AC4" s="128">
        <f>AB4*X4</f>
        <v>13368.1</v>
      </c>
    </row>
    <row r="5" spans="1:29">
      <c r="A5" s="41">
        <v>12</v>
      </c>
      <c r="B5" s="107" t="s">
        <v>1218</v>
      </c>
      <c r="C5" s="111" t="s">
        <v>1203</v>
      </c>
      <c r="D5" s="112" t="s">
        <v>1204</v>
      </c>
      <c r="E5" s="119" t="s">
        <v>1229</v>
      </c>
      <c r="G5" s="106">
        <v>8</v>
      </c>
      <c r="H5" s="136">
        <v>860</v>
      </c>
      <c r="I5" s="107" t="s">
        <v>1162</v>
      </c>
      <c r="J5" s="118" t="s">
        <v>1229</v>
      </c>
      <c r="L5" s="41" t="s">
        <v>1263</v>
      </c>
      <c r="M5" s="130">
        <f>(P5-N5)/(1-O5)</f>
        <v>1799.9675675675676</v>
      </c>
      <c r="N5" s="131">
        <v>335.03</v>
      </c>
      <c r="O5" s="132">
        <v>7.4999999999999997E-2</v>
      </c>
      <c r="P5" s="121">
        <v>2000</v>
      </c>
      <c r="S5" s="123" t="s">
        <v>1246</v>
      </c>
      <c r="T5" s="124" t="s">
        <v>1247</v>
      </c>
      <c r="U5" s="125">
        <v>134.08000000000001</v>
      </c>
      <c r="X5" s="41">
        <v>2000</v>
      </c>
      <c r="Y5" s="127">
        <v>10307</v>
      </c>
      <c r="Z5" s="129">
        <f>(Y5+(360*4))/X5</f>
        <v>5.8734999999999999</v>
      </c>
      <c r="AA5" s="121">
        <v>1.85</v>
      </c>
      <c r="AB5" s="128">
        <f>AA5*Z5</f>
        <v>10.865975000000001</v>
      </c>
      <c r="AC5" s="128">
        <f>AB5*X5</f>
        <v>21731.95</v>
      </c>
    </row>
    <row r="6" spans="1:29">
      <c r="A6" s="41">
        <v>18</v>
      </c>
      <c r="B6" s="107" t="s">
        <v>1226</v>
      </c>
      <c r="C6" s="116" t="s">
        <v>1212</v>
      </c>
      <c r="D6" s="116" t="s">
        <v>1213</v>
      </c>
      <c r="E6" s="119" t="s">
        <v>1229</v>
      </c>
      <c r="G6" s="106">
        <v>12</v>
      </c>
      <c r="H6" s="136">
        <v>1260</v>
      </c>
      <c r="I6" s="107" t="s">
        <v>1162</v>
      </c>
      <c r="J6" s="118" t="s">
        <v>1229</v>
      </c>
      <c r="M6" s="458" t="s">
        <v>1273</v>
      </c>
      <c r="N6" s="458"/>
      <c r="O6" s="458"/>
      <c r="S6" s="123" t="s">
        <v>1248</v>
      </c>
      <c r="T6" s="126">
        <v>15</v>
      </c>
      <c r="U6" s="124">
        <v>335.03</v>
      </c>
      <c r="X6" s="41">
        <v>3000</v>
      </c>
      <c r="Y6" s="127">
        <v>13638</v>
      </c>
      <c r="Z6" s="129">
        <f>(Y6+(360*4))/X6</f>
        <v>5.0259999999999998</v>
      </c>
      <c r="AA6" s="121">
        <v>1.85</v>
      </c>
      <c r="AB6" s="128">
        <f>AA6*Z6</f>
        <v>9.2980999999999998</v>
      </c>
      <c r="AC6" s="128">
        <f>AB6*X6</f>
        <v>27894.3</v>
      </c>
    </row>
    <row r="7" spans="1:29">
      <c r="A7" s="41">
        <v>19</v>
      </c>
      <c r="B7" s="107" t="s">
        <v>1227</v>
      </c>
      <c r="C7" s="116" t="s">
        <v>1225</v>
      </c>
      <c r="D7" s="116" t="s">
        <v>1212</v>
      </c>
      <c r="E7" s="119" t="s">
        <v>1229</v>
      </c>
      <c r="G7" s="106">
        <v>16</v>
      </c>
      <c r="H7" s="136">
        <v>1710</v>
      </c>
      <c r="I7" s="107" t="s">
        <v>1162</v>
      </c>
      <c r="J7" s="118" t="s">
        <v>1229</v>
      </c>
      <c r="S7" s="123" t="s">
        <v>1249</v>
      </c>
      <c r="T7" s="124" t="s">
        <v>1250</v>
      </c>
      <c r="U7" s="124">
        <v>602.96</v>
      </c>
      <c r="X7" s="41">
        <v>5000</v>
      </c>
      <c r="Y7" s="127">
        <v>20382</v>
      </c>
      <c r="Z7" s="129">
        <f>(Y7+(360*4))/X7</f>
        <v>4.3643999999999998</v>
      </c>
      <c r="AA7" s="121">
        <v>1.85</v>
      </c>
      <c r="AB7" s="128">
        <f>AA7*Z7</f>
        <v>8.0741399999999999</v>
      </c>
      <c r="AC7" s="128">
        <f>AB7*X7</f>
        <v>40370.699999999997</v>
      </c>
    </row>
    <row r="8" spans="1:29">
      <c r="A8" s="41">
        <v>1</v>
      </c>
      <c r="B8" s="107" t="s">
        <v>1197</v>
      </c>
      <c r="C8" s="111" t="s">
        <v>1198</v>
      </c>
      <c r="D8" s="111" t="s">
        <v>1199</v>
      </c>
      <c r="E8" s="119" t="s">
        <v>1229</v>
      </c>
      <c r="G8" s="106">
        <v>20</v>
      </c>
      <c r="H8" s="136">
        <v>2110</v>
      </c>
      <c r="I8" s="107" t="s">
        <v>1162</v>
      </c>
      <c r="J8" s="118" t="s">
        <v>1229</v>
      </c>
      <c r="S8" s="123" t="s">
        <v>1251</v>
      </c>
      <c r="T8" s="124" t="s">
        <v>1252</v>
      </c>
      <c r="U8" s="124">
        <v>826.15</v>
      </c>
      <c r="Z8" s="133" t="s">
        <v>1273</v>
      </c>
      <c r="AB8" s="458" t="s">
        <v>1273</v>
      </c>
      <c r="AC8" s="458"/>
    </row>
    <row r="9" spans="1:29">
      <c r="A9" s="41">
        <v>16</v>
      </c>
      <c r="B9" s="107" t="s">
        <v>1223</v>
      </c>
      <c r="C9" s="117" t="s">
        <v>1212</v>
      </c>
      <c r="D9" s="117" t="s">
        <v>1213</v>
      </c>
      <c r="E9" s="119" t="s">
        <v>1229</v>
      </c>
      <c r="G9" s="106">
        <v>24</v>
      </c>
      <c r="H9" s="136">
        <v>2560</v>
      </c>
      <c r="I9" s="107" t="s">
        <v>1162</v>
      </c>
      <c r="J9" s="118" t="s">
        <v>1229</v>
      </c>
    </row>
    <row r="10" spans="1:29">
      <c r="A10" s="41">
        <v>17</v>
      </c>
      <c r="B10" s="107" t="s">
        <v>1224</v>
      </c>
      <c r="C10" s="116" t="s">
        <v>1225</v>
      </c>
      <c r="D10" s="116" t="s">
        <v>1212</v>
      </c>
      <c r="E10" s="119" t="s">
        <v>1229</v>
      </c>
      <c r="G10" s="106">
        <v>28</v>
      </c>
      <c r="H10" s="136">
        <v>2961</v>
      </c>
      <c r="I10" s="107" t="s">
        <v>1162</v>
      </c>
      <c r="J10" s="118" t="s">
        <v>1229</v>
      </c>
    </row>
    <row r="11" spans="1:29">
      <c r="A11" s="41">
        <v>20</v>
      </c>
      <c r="B11" s="107" t="s">
        <v>1228</v>
      </c>
      <c r="C11" s="116" t="s">
        <v>1212</v>
      </c>
      <c r="D11" s="116" t="s">
        <v>1212</v>
      </c>
      <c r="E11" s="119" t="s">
        <v>1229</v>
      </c>
      <c r="G11" s="106">
        <v>32</v>
      </c>
      <c r="H11" s="136">
        <v>3370</v>
      </c>
      <c r="I11" s="107" t="s">
        <v>1162</v>
      </c>
      <c r="J11" s="118" t="s">
        <v>1229</v>
      </c>
    </row>
    <row r="12" spans="1:29">
      <c r="A12" s="41">
        <v>13</v>
      </c>
      <c r="B12" s="107" t="s">
        <v>1219</v>
      </c>
      <c r="C12" s="113" t="s">
        <v>1198</v>
      </c>
      <c r="D12" s="113" t="s">
        <v>1208</v>
      </c>
      <c r="E12" s="119" t="s">
        <v>1229</v>
      </c>
      <c r="G12" s="106">
        <v>36</v>
      </c>
      <c r="H12" s="136">
        <v>3791</v>
      </c>
      <c r="I12" s="107" t="s">
        <v>1162</v>
      </c>
      <c r="J12" s="118" t="s">
        <v>1229</v>
      </c>
    </row>
    <row r="13" spans="1:29">
      <c r="A13" s="41">
        <v>15</v>
      </c>
      <c r="B13" s="107" t="s">
        <v>1222</v>
      </c>
      <c r="C13" s="113" t="s">
        <v>1212</v>
      </c>
      <c r="D13" s="113" t="s">
        <v>1213</v>
      </c>
      <c r="E13" s="41"/>
      <c r="G13" s="106">
        <v>40</v>
      </c>
      <c r="H13" s="136">
        <v>4210</v>
      </c>
      <c r="I13" s="107" t="s">
        <v>1162</v>
      </c>
      <c r="J13" s="118" t="s">
        <v>1229</v>
      </c>
    </row>
    <row r="14" spans="1:29">
      <c r="A14" s="41">
        <v>14</v>
      </c>
      <c r="B14" s="107" t="s">
        <v>1220</v>
      </c>
      <c r="C14" s="116" t="s">
        <v>1209</v>
      </c>
      <c r="D14" s="114" t="s">
        <v>1221</v>
      </c>
      <c r="E14" s="119" t="s">
        <v>1229</v>
      </c>
      <c r="G14" s="106">
        <v>44</v>
      </c>
      <c r="H14" s="136">
        <v>4631</v>
      </c>
      <c r="I14" s="107" t="s">
        <v>1162</v>
      </c>
      <c r="J14" s="118" t="s">
        <v>1229</v>
      </c>
    </row>
    <row r="15" spans="1:29">
      <c r="A15" s="41">
        <v>6</v>
      </c>
      <c r="B15" s="107" t="s">
        <v>1206</v>
      </c>
      <c r="C15" s="115" t="s">
        <v>1198</v>
      </c>
      <c r="D15" s="112" t="s">
        <v>1199</v>
      </c>
      <c r="E15" s="120" t="s">
        <v>1230</v>
      </c>
      <c r="G15" s="106">
        <v>48</v>
      </c>
      <c r="H15" s="136">
        <v>5052</v>
      </c>
      <c r="I15" s="107" t="s">
        <v>1162</v>
      </c>
      <c r="J15" s="118" t="s">
        <v>1229</v>
      </c>
    </row>
    <row r="16" spans="1:29">
      <c r="A16" s="41">
        <v>9</v>
      </c>
      <c r="B16" s="107" t="s">
        <v>1211</v>
      </c>
      <c r="C16" s="114" t="s">
        <v>1212</v>
      </c>
      <c r="D16" s="114" t="s">
        <v>1213</v>
      </c>
      <c r="E16" s="41"/>
      <c r="G16" s="106">
        <v>4</v>
      </c>
      <c r="H16" s="136">
        <v>160</v>
      </c>
      <c r="I16" s="107" t="s">
        <v>1163</v>
      </c>
      <c r="J16" s="118" t="s">
        <v>1229</v>
      </c>
    </row>
    <row r="17" spans="1:10">
      <c r="A17" s="41">
        <v>10</v>
      </c>
      <c r="B17" s="107" t="s">
        <v>1214</v>
      </c>
      <c r="C17" s="114" t="s">
        <v>1215</v>
      </c>
      <c r="D17" s="114" t="s">
        <v>1216</v>
      </c>
      <c r="E17" s="41"/>
      <c r="G17" s="106">
        <v>8</v>
      </c>
      <c r="H17" s="136">
        <v>310</v>
      </c>
      <c r="I17" s="107" t="s">
        <v>1163</v>
      </c>
      <c r="J17" s="118" t="s">
        <v>1229</v>
      </c>
    </row>
    <row r="18" spans="1:10">
      <c r="A18" s="41">
        <v>8</v>
      </c>
      <c r="B18" s="107" t="s">
        <v>1210</v>
      </c>
      <c r="C18" s="115" t="s">
        <v>1204</v>
      </c>
      <c r="D18" s="112" t="s">
        <v>1208</v>
      </c>
      <c r="E18" s="41"/>
      <c r="G18" s="106">
        <v>12</v>
      </c>
      <c r="H18" s="136">
        <v>430</v>
      </c>
      <c r="I18" s="107" t="s">
        <v>1163</v>
      </c>
      <c r="J18" s="118" t="s">
        <v>1229</v>
      </c>
    </row>
    <row r="19" spans="1:10">
      <c r="A19" s="41">
        <v>7</v>
      </c>
      <c r="B19" s="107" t="s">
        <v>1207</v>
      </c>
      <c r="C19" s="115" t="s">
        <v>1208</v>
      </c>
      <c r="D19" s="112" t="s">
        <v>1209</v>
      </c>
      <c r="E19" s="119" t="s">
        <v>1229</v>
      </c>
      <c r="G19" s="106">
        <v>16</v>
      </c>
      <c r="H19" s="136">
        <v>570</v>
      </c>
      <c r="I19" s="107" t="s">
        <v>1163</v>
      </c>
      <c r="J19" s="118" t="s">
        <v>1229</v>
      </c>
    </row>
    <row r="20" spans="1:10">
      <c r="A20" s="41">
        <v>5</v>
      </c>
      <c r="B20" s="107" t="s">
        <v>1205</v>
      </c>
      <c r="C20" s="114" t="s">
        <v>1203</v>
      </c>
      <c r="D20" s="112" t="s">
        <v>1204</v>
      </c>
      <c r="E20" s="120" t="s">
        <v>1230</v>
      </c>
      <c r="G20" s="106">
        <v>20</v>
      </c>
      <c r="H20" s="136">
        <v>710</v>
      </c>
      <c r="I20" s="107" t="s">
        <v>1163</v>
      </c>
      <c r="J20" s="118" t="s">
        <v>1229</v>
      </c>
    </row>
    <row r="21" spans="1:10">
      <c r="A21" s="41">
        <v>2</v>
      </c>
      <c r="B21" s="107" t="s">
        <v>1200</v>
      </c>
      <c r="C21" s="111" t="s">
        <v>1198</v>
      </c>
      <c r="D21" s="112" t="s">
        <v>1199</v>
      </c>
      <c r="E21" s="119" t="s">
        <v>1229</v>
      </c>
      <c r="G21" s="106">
        <v>24</v>
      </c>
      <c r="H21" s="136">
        <v>850</v>
      </c>
      <c r="I21" s="107" t="s">
        <v>1163</v>
      </c>
      <c r="J21" s="118" t="s">
        <v>1229</v>
      </c>
    </row>
    <row r="22" spans="1:10">
      <c r="A22" s="41">
        <v>4</v>
      </c>
      <c r="B22" s="107" t="s">
        <v>1202</v>
      </c>
      <c r="C22" s="113" t="s">
        <v>1203</v>
      </c>
      <c r="D22" s="113" t="s">
        <v>1204</v>
      </c>
      <c r="E22" s="120" t="s">
        <v>1230</v>
      </c>
      <c r="G22" s="106">
        <v>28</v>
      </c>
      <c r="H22" s="136">
        <v>990</v>
      </c>
      <c r="I22" s="107" t="s">
        <v>1163</v>
      </c>
      <c r="J22" s="118" t="s">
        <v>1229</v>
      </c>
    </row>
    <row r="23" spans="1:10">
      <c r="A23" s="41">
        <v>3</v>
      </c>
      <c r="B23" s="107" t="s">
        <v>1201</v>
      </c>
      <c r="C23" s="112" t="s">
        <v>1198</v>
      </c>
      <c r="D23" s="112" t="s">
        <v>1199</v>
      </c>
      <c r="E23" s="119" t="s">
        <v>1229</v>
      </c>
      <c r="G23" s="106">
        <v>32</v>
      </c>
      <c r="H23" s="136">
        <v>1130</v>
      </c>
      <c r="I23" s="107" t="s">
        <v>1163</v>
      </c>
      <c r="J23" s="118" t="s">
        <v>1229</v>
      </c>
    </row>
    <row r="24" spans="1:10">
      <c r="G24" s="106">
        <v>36</v>
      </c>
      <c r="H24" s="136">
        <v>1270</v>
      </c>
      <c r="I24" s="107" t="s">
        <v>1163</v>
      </c>
      <c r="J24" s="118" t="s">
        <v>1229</v>
      </c>
    </row>
    <row r="25" spans="1:10">
      <c r="G25" s="106">
        <v>40</v>
      </c>
      <c r="H25" s="136">
        <v>1410</v>
      </c>
      <c r="I25" s="107" t="s">
        <v>1163</v>
      </c>
      <c r="J25" s="118" t="s">
        <v>1229</v>
      </c>
    </row>
    <row r="26" spans="1:10">
      <c r="G26" s="106">
        <v>44</v>
      </c>
      <c r="H26" s="136">
        <v>1551</v>
      </c>
      <c r="I26" s="107" t="s">
        <v>1163</v>
      </c>
      <c r="J26" s="118" t="s">
        <v>1229</v>
      </c>
    </row>
    <row r="27" spans="1:10">
      <c r="G27" s="106">
        <v>48</v>
      </c>
      <c r="H27" s="136">
        <v>1692</v>
      </c>
      <c r="I27" s="107" t="s">
        <v>1163</v>
      </c>
      <c r="J27" s="118" t="s">
        <v>1229</v>
      </c>
    </row>
    <row r="28" spans="1:10">
      <c r="G28" s="106">
        <v>4</v>
      </c>
      <c r="H28" s="136">
        <v>210</v>
      </c>
      <c r="I28" s="107" t="s">
        <v>1164</v>
      </c>
      <c r="J28" s="118" t="s">
        <v>1229</v>
      </c>
    </row>
    <row r="29" spans="1:10">
      <c r="G29" s="106">
        <v>8</v>
      </c>
      <c r="H29" s="136">
        <v>370</v>
      </c>
      <c r="I29" s="107" t="s">
        <v>1164</v>
      </c>
      <c r="J29" s="118" t="s">
        <v>1229</v>
      </c>
    </row>
    <row r="30" spans="1:10">
      <c r="G30" s="106">
        <v>12</v>
      </c>
      <c r="H30" s="136">
        <v>560</v>
      </c>
      <c r="I30" s="107" t="s">
        <v>1164</v>
      </c>
      <c r="J30" s="118" t="s">
        <v>1229</v>
      </c>
    </row>
    <row r="31" spans="1:10">
      <c r="G31" s="106">
        <v>16</v>
      </c>
      <c r="H31" s="136">
        <v>730</v>
      </c>
      <c r="I31" s="107" t="s">
        <v>1164</v>
      </c>
      <c r="J31" s="118" t="s">
        <v>1229</v>
      </c>
    </row>
    <row r="32" spans="1:10">
      <c r="G32" s="106">
        <v>20</v>
      </c>
      <c r="H32" s="136">
        <v>910</v>
      </c>
      <c r="I32" s="107" t="s">
        <v>1164</v>
      </c>
      <c r="J32" s="118" t="s">
        <v>1229</v>
      </c>
    </row>
    <row r="33" spans="7:10">
      <c r="G33" s="106">
        <v>24</v>
      </c>
      <c r="H33" s="136">
        <v>1110</v>
      </c>
      <c r="I33" s="107" t="s">
        <v>1164</v>
      </c>
      <c r="J33" s="118" t="s">
        <v>1229</v>
      </c>
    </row>
    <row r="34" spans="7:10">
      <c r="G34" s="106">
        <v>28</v>
      </c>
      <c r="H34" s="136">
        <v>1270</v>
      </c>
      <c r="I34" s="107" t="s">
        <v>1164</v>
      </c>
      <c r="J34" s="118" t="s">
        <v>1229</v>
      </c>
    </row>
    <row r="35" spans="7:10">
      <c r="G35" s="106">
        <v>32</v>
      </c>
      <c r="H35" s="136">
        <v>1461</v>
      </c>
      <c r="I35" s="107" t="s">
        <v>1164</v>
      </c>
      <c r="J35" s="118" t="s">
        <v>1229</v>
      </c>
    </row>
    <row r="36" spans="7:10">
      <c r="G36" s="106">
        <v>36</v>
      </c>
      <c r="H36" s="136">
        <v>1631</v>
      </c>
      <c r="I36" s="107" t="s">
        <v>1164</v>
      </c>
      <c r="J36" s="118" t="s">
        <v>1229</v>
      </c>
    </row>
    <row r="37" spans="7:10">
      <c r="G37" s="106">
        <v>40</v>
      </c>
      <c r="H37" s="136">
        <v>1810</v>
      </c>
      <c r="I37" s="107" t="s">
        <v>1164</v>
      </c>
      <c r="J37" s="118" t="s">
        <v>1229</v>
      </c>
    </row>
    <row r="38" spans="7:10">
      <c r="G38" s="106">
        <v>44</v>
      </c>
      <c r="H38" s="136">
        <v>2011</v>
      </c>
      <c r="I38" s="107" t="s">
        <v>1164</v>
      </c>
      <c r="J38" s="118" t="s">
        <v>1229</v>
      </c>
    </row>
    <row r="39" spans="7:10">
      <c r="G39" s="106">
        <v>48</v>
      </c>
      <c r="H39" s="136">
        <v>2210</v>
      </c>
      <c r="I39" s="107" t="s">
        <v>1164</v>
      </c>
      <c r="J39" s="118" t="s">
        <v>1229</v>
      </c>
    </row>
    <row r="40" spans="7:10">
      <c r="G40" s="108">
        <v>1</v>
      </c>
      <c r="H40" s="137">
        <v>40</v>
      </c>
      <c r="I40" s="109" t="s">
        <v>1162</v>
      </c>
      <c r="J40" s="120" t="s">
        <v>1230</v>
      </c>
    </row>
    <row r="41" spans="7:10">
      <c r="G41" s="108">
        <v>1</v>
      </c>
      <c r="H41" s="137">
        <v>35</v>
      </c>
      <c r="I41" s="109" t="s">
        <v>1163</v>
      </c>
      <c r="J41" s="120" t="s">
        <v>1230</v>
      </c>
    </row>
    <row r="42" spans="7:10">
      <c r="G42" s="108">
        <v>1</v>
      </c>
      <c r="H42" s="137">
        <v>50</v>
      </c>
      <c r="I42" s="109" t="s">
        <v>1164</v>
      </c>
      <c r="J42" s="120" t="s">
        <v>1230</v>
      </c>
    </row>
    <row r="43" spans="7:10">
      <c r="G43" s="108">
        <v>1</v>
      </c>
      <c r="H43" s="137">
        <v>150</v>
      </c>
      <c r="I43" s="110" t="s">
        <v>1264</v>
      </c>
      <c r="J43" s="120" t="s">
        <v>1230</v>
      </c>
    </row>
    <row r="44" spans="7:10">
      <c r="G44" s="108">
        <v>1</v>
      </c>
      <c r="H44" s="137">
        <v>180</v>
      </c>
      <c r="I44" s="110" t="s">
        <v>1265</v>
      </c>
      <c r="J44" s="120" t="s">
        <v>1230</v>
      </c>
    </row>
    <row r="45" spans="7:10">
      <c r="G45" s="108">
        <v>1</v>
      </c>
      <c r="H45" s="137">
        <v>800</v>
      </c>
      <c r="I45" s="110" t="s">
        <v>1266</v>
      </c>
      <c r="J45" s="120" t="s">
        <v>1230</v>
      </c>
    </row>
    <row r="46" spans="7:10">
      <c r="G46" s="108">
        <v>1</v>
      </c>
      <c r="H46" s="137">
        <v>200</v>
      </c>
      <c r="I46" s="110" t="s">
        <v>1267</v>
      </c>
      <c r="J46" s="120" t="s">
        <v>1230</v>
      </c>
    </row>
    <row r="47" spans="7:10">
      <c r="G47" s="108">
        <v>1</v>
      </c>
      <c r="H47" s="137">
        <v>1000</v>
      </c>
      <c r="I47" s="110" t="s">
        <v>1268</v>
      </c>
      <c r="J47" s="120" t="s">
        <v>1230</v>
      </c>
    </row>
    <row r="48" spans="7:10">
      <c r="G48" s="108">
        <v>1</v>
      </c>
      <c r="H48" s="137">
        <v>200</v>
      </c>
      <c r="I48" s="110" t="s">
        <v>1269</v>
      </c>
      <c r="J48" s="120" t="s">
        <v>1230</v>
      </c>
    </row>
    <row r="49" spans="7:10">
      <c r="G49" s="108">
        <v>1</v>
      </c>
      <c r="H49" s="137">
        <v>1000</v>
      </c>
      <c r="I49" s="110" t="s">
        <v>1270</v>
      </c>
      <c r="J49" s="120" t="s">
        <v>1230</v>
      </c>
    </row>
    <row r="50" spans="7:10">
      <c r="G50" s="108">
        <v>1</v>
      </c>
      <c r="H50" s="137">
        <v>13</v>
      </c>
      <c r="I50" s="110" t="s">
        <v>1271</v>
      </c>
      <c r="J50" s="120" t="s">
        <v>1230</v>
      </c>
    </row>
    <row r="51" spans="7:10">
      <c r="G51" s="108">
        <v>1</v>
      </c>
      <c r="H51" s="137">
        <v>18</v>
      </c>
      <c r="I51" s="110" t="s">
        <v>1272</v>
      </c>
      <c r="J51" s="120" t="s">
        <v>1230</v>
      </c>
    </row>
  </sheetData>
  <sortState ref="A4:E23">
    <sortCondition ref="B4:B23"/>
  </sortState>
  <mergeCells count="8">
    <mergeCell ref="X2:AC2"/>
    <mergeCell ref="M6:O6"/>
    <mergeCell ref="AB8:AC8"/>
    <mergeCell ref="G2:J2"/>
    <mergeCell ref="B2:D2"/>
    <mergeCell ref="L2:P2"/>
    <mergeCell ref="S1:U1"/>
    <mergeCell ref="S2:U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Dados do Orçamento" size="large" onAction="Cadastro" imageMso="SmartArtAddShape"/>
          <button id="Btn201" label="Projetos" size="large" onAction="nmPROJETOS" imageMso="PropertySheet"/>
          <button id="Btn202" label="Impressões" size="large" onAction="nmIMPRESSOES" imageMso="ViewNormalViewExcel"/>
          <button id="Btn203" label="Acabamento" size="large" onAction="nmACABAMENTO" imageMso="AlignJustify"/>
          <button id="Btn204" label="Propostas" size="large" onAction="nmPROPOSTAS" imageMso="SmartArtAddBullet"/>
        </group>
        <!--<group id="Grp6" label="adm">
					<button id="Btn600" label="Desbloqueio" size="large" onAction="Desbloqueio" imageMso="Lock"/>
					<button id="Btn601" label="Administração" size="large" onAction="Administracao" imageMso="PropertySheet"/>
				</group> -->
        <group id="Grp4" label="Arquivos">
          <button id="Btn401" label="Anexos" size="large" onAction="AnexosArquivos" imageMso="ExchangeFolder"/>
          <!--<button id="Btn202" label="Indices de Calculos" size="large" onAction="Indices" imageMso="TableInsertExcel"/>-->
        </group>
        <group id="Grp5" label="Sincronismo">
          <button id="Btn501" label="Enviar/Receber" size="large" onAction="EnviarReceber" imageMso="Refresh"/>
          <!--<button id="Btn302" label="Enviar dados" size="large" onAction="EnviarDados" imageMso="ObjectNudgeUp"/>-->
          <!--<button id="Btn303" label="Receber dados" size="large" onAction="ReceberDados" imageMso="ObjectNudgeDown"/>-->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922</vt:i4>
      </vt:variant>
    </vt:vector>
  </HeadingPairs>
  <TitlesOfParts>
    <vt:vector size="931" baseType="lpstr">
      <vt:lpstr>OLD</vt:lpstr>
      <vt:lpstr>078-14 (2)</vt:lpstr>
      <vt:lpstr>CALCULO DE GRANT</vt:lpstr>
      <vt:lpstr>PATRICIA MIRRA (2)</vt:lpstr>
      <vt:lpstr>140823-1230</vt:lpstr>
      <vt:lpstr>140823-1230 (2)</vt:lpstr>
      <vt:lpstr>APOIO</vt:lpstr>
      <vt:lpstr>BANCOS</vt:lpstr>
      <vt:lpstr>CUSTOS DE PRODUÇÃO</vt:lpstr>
      <vt:lpstr>'078-14 (2)'!Area_de_impressao</vt:lpstr>
      <vt:lpstr>'140823-1230'!Area_de_impressao</vt:lpstr>
      <vt:lpstr>'140823-1230 (2)'!Area_de_impressao</vt:lpstr>
      <vt:lpstr>'CUSTOS DE PRODUÇÃO'!Area_de_impressao</vt:lpstr>
      <vt:lpstr>OLD!Area_de_impressao</vt:lpstr>
      <vt:lpstr>'PATRICIA MIRRA (2)'!Area_de_impressao</vt:lpstr>
      <vt:lpstr>'078-14 (2)'!ARREDONDAMENT0_01</vt:lpstr>
      <vt:lpstr>'140823-1230'!ARREDONDAMENT0_01</vt:lpstr>
      <vt:lpstr>'140823-1230 (2)'!ARREDONDAMENT0_01</vt:lpstr>
      <vt:lpstr>'PATRICIA MIRRA (2)'!ARREDONDAMENT0_01</vt:lpstr>
      <vt:lpstr>ARREDONDAMENT0_01</vt:lpstr>
      <vt:lpstr>'078-14 (2)'!ARREDONDAMENT0_02</vt:lpstr>
      <vt:lpstr>'140823-1230'!ARREDONDAMENT0_02</vt:lpstr>
      <vt:lpstr>'140823-1230 (2)'!ARREDONDAMENT0_02</vt:lpstr>
      <vt:lpstr>'PATRICIA MIRRA (2)'!ARREDONDAMENT0_02</vt:lpstr>
      <vt:lpstr>ARREDONDAMENT0_02</vt:lpstr>
      <vt:lpstr>'078-14 (2)'!ARREDONDAMENT0_03</vt:lpstr>
      <vt:lpstr>'140823-1230'!ARREDONDAMENT0_03</vt:lpstr>
      <vt:lpstr>'140823-1230 (2)'!ARREDONDAMENT0_03</vt:lpstr>
      <vt:lpstr>'PATRICIA MIRRA (2)'!ARREDONDAMENT0_03</vt:lpstr>
      <vt:lpstr>ARREDONDAMENT0_03</vt:lpstr>
      <vt:lpstr>'078-14 (2)'!ARREDONDAMENT0_04</vt:lpstr>
      <vt:lpstr>'140823-1230'!ARREDONDAMENT0_04</vt:lpstr>
      <vt:lpstr>'140823-1230 (2)'!ARREDONDAMENT0_04</vt:lpstr>
      <vt:lpstr>'PATRICIA MIRRA (2)'!ARREDONDAMENT0_04</vt:lpstr>
      <vt:lpstr>ARREDONDAMENT0_04</vt:lpstr>
      <vt:lpstr>'078-14 (2)'!ARREDONDAMENT0_05</vt:lpstr>
      <vt:lpstr>'140823-1230'!ARREDONDAMENT0_05</vt:lpstr>
      <vt:lpstr>'140823-1230 (2)'!ARREDONDAMENT0_05</vt:lpstr>
      <vt:lpstr>'PATRICIA MIRRA (2)'!ARREDONDAMENT0_05</vt:lpstr>
      <vt:lpstr>ARREDONDAMENT0_05</vt:lpstr>
      <vt:lpstr>'078-14 (2)'!ARREDONDAMENT0_06</vt:lpstr>
      <vt:lpstr>'140823-1230'!ARREDONDAMENT0_06</vt:lpstr>
      <vt:lpstr>'140823-1230 (2)'!ARREDONDAMENT0_06</vt:lpstr>
      <vt:lpstr>'PATRICIA MIRRA (2)'!ARREDONDAMENT0_06</vt:lpstr>
      <vt:lpstr>ARREDONDAMENT0_06</vt:lpstr>
      <vt:lpstr>'078-14 (2)'!ARREDONDAMENT0_07</vt:lpstr>
      <vt:lpstr>'140823-1230'!ARREDONDAMENT0_07</vt:lpstr>
      <vt:lpstr>'140823-1230 (2)'!ARREDONDAMENT0_07</vt:lpstr>
      <vt:lpstr>'PATRICIA MIRRA (2)'!ARREDONDAMENT0_07</vt:lpstr>
      <vt:lpstr>ARREDONDAMENT0_07</vt:lpstr>
      <vt:lpstr>'078-14 (2)'!ARREDONDAMENT0_08</vt:lpstr>
      <vt:lpstr>'140823-1230'!ARREDONDAMENT0_08</vt:lpstr>
      <vt:lpstr>'140823-1230 (2)'!ARREDONDAMENT0_08</vt:lpstr>
      <vt:lpstr>'PATRICIA MIRRA (2)'!ARREDONDAMENT0_08</vt:lpstr>
      <vt:lpstr>ARREDONDAMENT0_08</vt:lpstr>
      <vt:lpstr>ARREDONDAMENTO_COMPRAS_01</vt:lpstr>
      <vt:lpstr>ARREDONDAMENTO_COMPRAS_02</vt:lpstr>
      <vt:lpstr>ARREDONDAMENTO_COMPRAS_03</vt:lpstr>
      <vt:lpstr>ARREDONDAMENTO_COMPRAS_04</vt:lpstr>
      <vt:lpstr>ARREDONDAMENTO_COMPRAS_05</vt:lpstr>
      <vt:lpstr>ARREDONDAMENTO_COMPRAS_06</vt:lpstr>
      <vt:lpstr>ARREDONDAMENTO_COMPRAS_07</vt:lpstr>
      <vt:lpstr>ARREDONDAMENTO_COMPRAS_08</vt:lpstr>
      <vt:lpstr>'078-14 (2)'!Caracteristicas</vt:lpstr>
      <vt:lpstr>'140823-1230'!Caracteristicas</vt:lpstr>
      <vt:lpstr>'140823-1230 (2)'!Caracteristicas</vt:lpstr>
      <vt:lpstr>'PATRICIA MIRRA (2)'!Caracteristicas</vt:lpstr>
      <vt:lpstr>Caracteristicas</vt:lpstr>
      <vt:lpstr>'078-14 (2)'!DescontoComprasMKT_01</vt:lpstr>
      <vt:lpstr>'140823-1230'!DescontoComprasMKT_01</vt:lpstr>
      <vt:lpstr>'140823-1230 (2)'!DescontoComprasMKT_01</vt:lpstr>
      <vt:lpstr>'PATRICIA MIRRA (2)'!DescontoComprasMKT_01</vt:lpstr>
      <vt:lpstr>DescontoComprasMKT_01</vt:lpstr>
      <vt:lpstr>'078-14 (2)'!DescontoComprasMKT_02</vt:lpstr>
      <vt:lpstr>'140823-1230'!DescontoComprasMKT_02</vt:lpstr>
      <vt:lpstr>'140823-1230 (2)'!DescontoComprasMKT_02</vt:lpstr>
      <vt:lpstr>'PATRICIA MIRRA (2)'!DescontoComprasMKT_02</vt:lpstr>
      <vt:lpstr>DescontoComprasMKT_02</vt:lpstr>
      <vt:lpstr>'078-14 (2)'!DescontoComprasMKT_03</vt:lpstr>
      <vt:lpstr>'140823-1230'!DescontoComprasMKT_03</vt:lpstr>
      <vt:lpstr>'140823-1230 (2)'!DescontoComprasMKT_03</vt:lpstr>
      <vt:lpstr>'PATRICIA MIRRA (2)'!DescontoComprasMKT_03</vt:lpstr>
      <vt:lpstr>DescontoComprasMKT_03</vt:lpstr>
      <vt:lpstr>'078-14 (2)'!DescontoComprasMKT_04</vt:lpstr>
      <vt:lpstr>'140823-1230'!DescontoComprasMKT_04</vt:lpstr>
      <vt:lpstr>'140823-1230 (2)'!DescontoComprasMKT_04</vt:lpstr>
      <vt:lpstr>'PATRICIA MIRRA (2)'!DescontoComprasMKT_04</vt:lpstr>
      <vt:lpstr>DescontoComprasMKT_04</vt:lpstr>
      <vt:lpstr>'078-14 (2)'!DescontoComprasMKT_05</vt:lpstr>
      <vt:lpstr>'140823-1230'!DescontoComprasMKT_05</vt:lpstr>
      <vt:lpstr>'140823-1230 (2)'!DescontoComprasMKT_05</vt:lpstr>
      <vt:lpstr>'PATRICIA MIRRA (2)'!DescontoComprasMKT_05</vt:lpstr>
      <vt:lpstr>DescontoComprasMKT_05</vt:lpstr>
      <vt:lpstr>'078-14 (2)'!DescontoComprasMKT_06</vt:lpstr>
      <vt:lpstr>'140823-1230'!DescontoComprasMKT_06</vt:lpstr>
      <vt:lpstr>'140823-1230 (2)'!DescontoComprasMKT_06</vt:lpstr>
      <vt:lpstr>'PATRICIA MIRRA (2)'!DescontoComprasMKT_06</vt:lpstr>
      <vt:lpstr>DescontoComprasMKT_06</vt:lpstr>
      <vt:lpstr>'078-14 (2)'!DescontoComprasMKT_07</vt:lpstr>
      <vt:lpstr>'140823-1230'!DescontoComprasMKT_07</vt:lpstr>
      <vt:lpstr>'140823-1230 (2)'!DescontoComprasMKT_07</vt:lpstr>
      <vt:lpstr>'PATRICIA MIRRA (2)'!DescontoComprasMKT_07</vt:lpstr>
      <vt:lpstr>DescontoComprasMKT_07</vt:lpstr>
      <vt:lpstr>'078-14 (2)'!DescontoComprasMKT_08</vt:lpstr>
      <vt:lpstr>'140823-1230'!DescontoComprasMKT_08</vt:lpstr>
      <vt:lpstr>'140823-1230 (2)'!DescontoComprasMKT_08</vt:lpstr>
      <vt:lpstr>'PATRICIA MIRRA (2)'!DescontoComprasMKT_08</vt:lpstr>
      <vt:lpstr>DescontoComprasMKT_08</vt:lpstr>
      <vt:lpstr>'078-14 (2)'!DescontoPadrao_01</vt:lpstr>
      <vt:lpstr>'140823-1230'!DescontoPadrao_01</vt:lpstr>
      <vt:lpstr>'140823-1230 (2)'!DescontoPadrao_01</vt:lpstr>
      <vt:lpstr>'PATRICIA MIRRA (2)'!DescontoPadrao_01</vt:lpstr>
      <vt:lpstr>DescontoPadrao_01</vt:lpstr>
      <vt:lpstr>'078-14 (2)'!DescontoPadrao_02</vt:lpstr>
      <vt:lpstr>'140823-1230'!DescontoPadrao_02</vt:lpstr>
      <vt:lpstr>'140823-1230 (2)'!DescontoPadrao_02</vt:lpstr>
      <vt:lpstr>'PATRICIA MIRRA (2)'!DescontoPadrao_02</vt:lpstr>
      <vt:lpstr>DescontoPadrao_02</vt:lpstr>
      <vt:lpstr>'078-14 (2)'!DescontoPadrao_03</vt:lpstr>
      <vt:lpstr>'140823-1230'!DescontoPadrao_03</vt:lpstr>
      <vt:lpstr>'140823-1230 (2)'!DescontoPadrao_03</vt:lpstr>
      <vt:lpstr>'PATRICIA MIRRA (2)'!DescontoPadrao_03</vt:lpstr>
      <vt:lpstr>DescontoPadrao_03</vt:lpstr>
      <vt:lpstr>'078-14 (2)'!DescontoPadrao_04</vt:lpstr>
      <vt:lpstr>'140823-1230'!DescontoPadrao_04</vt:lpstr>
      <vt:lpstr>'140823-1230 (2)'!DescontoPadrao_04</vt:lpstr>
      <vt:lpstr>'PATRICIA MIRRA (2)'!DescontoPadrao_04</vt:lpstr>
      <vt:lpstr>DescontoPadrao_04</vt:lpstr>
      <vt:lpstr>'078-14 (2)'!DescontoPadrao_05</vt:lpstr>
      <vt:lpstr>'140823-1230'!DescontoPadrao_05</vt:lpstr>
      <vt:lpstr>'140823-1230 (2)'!DescontoPadrao_05</vt:lpstr>
      <vt:lpstr>'PATRICIA MIRRA (2)'!DescontoPadrao_05</vt:lpstr>
      <vt:lpstr>DescontoPadrao_05</vt:lpstr>
      <vt:lpstr>'078-14 (2)'!DescontoPadrao_06</vt:lpstr>
      <vt:lpstr>'140823-1230'!DescontoPadrao_06</vt:lpstr>
      <vt:lpstr>'140823-1230 (2)'!DescontoPadrao_06</vt:lpstr>
      <vt:lpstr>'PATRICIA MIRRA (2)'!DescontoPadrao_06</vt:lpstr>
      <vt:lpstr>DescontoPadrao_06</vt:lpstr>
      <vt:lpstr>'078-14 (2)'!DescontoPadrao_07</vt:lpstr>
      <vt:lpstr>'140823-1230'!DescontoPadrao_07</vt:lpstr>
      <vt:lpstr>'140823-1230 (2)'!DescontoPadrao_07</vt:lpstr>
      <vt:lpstr>'PATRICIA MIRRA (2)'!DescontoPadrao_07</vt:lpstr>
      <vt:lpstr>DescontoPadrao_07</vt:lpstr>
      <vt:lpstr>'078-14 (2)'!DescontoPadrao_08</vt:lpstr>
      <vt:lpstr>'140823-1230'!DescontoPadrao_08</vt:lpstr>
      <vt:lpstr>'140823-1230 (2)'!DescontoPadrao_08</vt:lpstr>
      <vt:lpstr>'PATRICIA MIRRA (2)'!DescontoPadrao_08</vt:lpstr>
      <vt:lpstr>DescontoPadrao_08</vt:lpstr>
      <vt:lpstr>'078-14 (2)'!FASCICULOS_01</vt:lpstr>
      <vt:lpstr>'140823-1230'!FASCICULOS_01</vt:lpstr>
      <vt:lpstr>'140823-1230 (2)'!FASCICULOS_01</vt:lpstr>
      <vt:lpstr>'PATRICIA MIRRA (2)'!FASCICULOS_01</vt:lpstr>
      <vt:lpstr>FASCICULOS_01</vt:lpstr>
      <vt:lpstr>'078-14 (2)'!FASCICULOS_02</vt:lpstr>
      <vt:lpstr>'140823-1230'!FASCICULOS_02</vt:lpstr>
      <vt:lpstr>'140823-1230 (2)'!FASCICULOS_02</vt:lpstr>
      <vt:lpstr>'PATRICIA MIRRA (2)'!FASCICULOS_02</vt:lpstr>
      <vt:lpstr>FASCICULOS_02</vt:lpstr>
      <vt:lpstr>'078-14 (2)'!FASCICULOS_03</vt:lpstr>
      <vt:lpstr>'140823-1230'!FASCICULOS_03</vt:lpstr>
      <vt:lpstr>'140823-1230 (2)'!FASCICULOS_03</vt:lpstr>
      <vt:lpstr>'PATRICIA MIRRA (2)'!FASCICULOS_03</vt:lpstr>
      <vt:lpstr>FASCICULOS_03</vt:lpstr>
      <vt:lpstr>'078-14 (2)'!FASCICULOS_04</vt:lpstr>
      <vt:lpstr>'140823-1230'!FASCICULOS_04</vt:lpstr>
      <vt:lpstr>'140823-1230 (2)'!FASCICULOS_04</vt:lpstr>
      <vt:lpstr>'PATRICIA MIRRA (2)'!FASCICULOS_04</vt:lpstr>
      <vt:lpstr>FASCICULOS_04</vt:lpstr>
      <vt:lpstr>'078-14 (2)'!FASCICULOS_05</vt:lpstr>
      <vt:lpstr>'140823-1230'!FASCICULOS_05</vt:lpstr>
      <vt:lpstr>'140823-1230 (2)'!FASCICULOS_05</vt:lpstr>
      <vt:lpstr>'PATRICIA MIRRA (2)'!FASCICULOS_05</vt:lpstr>
      <vt:lpstr>FASCICULOS_05</vt:lpstr>
      <vt:lpstr>'078-14 (2)'!FASCICULOS_06</vt:lpstr>
      <vt:lpstr>'140823-1230'!FASCICULOS_06</vt:lpstr>
      <vt:lpstr>'140823-1230 (2)'!FASCICULOS_06</vt:lpstr>
      <vt:lpstr>'PATRICIA MIRRA (2)'!FASCICULOS_06</vt:lpstr>
      <vt:lpstr>FASCICULOS_06</vt:lpstr>
      <vt:lpstr>'078-14 (2)'!FASCICULOS_07</vt:lpstr>
      <vt:lpstr>'140823-1230'!FASCICULOS_07</vt:lpstr>
      <vt:lpstr>'140823-1230 (2)'!FASCICULOS_07</vt:lpstr>
      <vt:lpstr>'PATRICIA MIRRA (2)'!FASCICULOS_07</vt:lpstr>
      <vt:lpstr>FASCICULOS_07</vt:lpstr>
      <vt:lpstr>'078-14 (2)'!FASCICULOS_08</vt:lpstr>
      <vt:lpstr>'140823-1230'!FASCICULOS_08</vt:lpstr>
      <vt:lpstr>'140823-1230 (2)'!FASCICULOS_08</vt:lpstr>
      <vt:lpstr>'PATRICIA MIRRA (2)'!FASCICULOS_08</vt:lpstr>
      <vt:lpstr>FASCICULOS_08</vt:lpstr>
      <vt:lpstr>'078-14 (2)'!LINHA_DE_PRODUTO_01</vt:lpstr>
      <vt:lpstr>'140823-1230'!LINHA_DE_PRODUTO_01</vt:lpstr>
      <vt:lpstr>'140823-1230 (2)'!LINHA_DE_PRODUTO_01</vt:lpstr>
      <vt:lpstr>'PATRICIA MIRRA (2)'!LINHA_DE_PRODUTO_01</vt:lpstr>
      <vt:lpstr>LINHA_DE_PRODUTO_01</vt:lpstr>
      <vt:lpstr>'078-14 (2)'!LINHA_DE_PRODUTO_02</vt:lpstr>
      <vt:lpstr>'140823-1230'!LINHA_DE_PRODUTO_02</vt:lpstr>
      <vt:lpstr>'140823-1230 (2)'!LINHA_DE_PRODUTO_02</vt:lpstr>
      <vt:lpstr>'PATRICIA MIRRA (2)'!LINHA_DE_PRODUTO_02</vt:lpstr>
      <vt:lpstr>LINHA_DE_PRODUTO_02</vt:lpstr>
      <vt:lpstr>'078-14 (2)'!LINHA_DE_PRODUTO_03</vt:lpstr>
      <vt:lpstr>'140823-1230'!LINHA_DE_PRODUTO_03</vt:lpstr>
      <vt:lpstr>'140823-1230 (2)'!LINHA_DE_PRODUTO_03</vt:lpstr>
      <vt:lpstr>'PATRICIA MIRRA (2)'!LINHA_DE_PRODUTO_03</vt:lpstr>
      <vt:lpstr>LINHA_DE_PRODUTO_03</vt:lpstr>
      <vt:lpstr>'078-14 (2)'!LINHA_DE_PRODUTO_04</vt:lpstr>
      <vt:lpstr>'140823-1230'!LINHA_DE_PRODUTO_04</vt:lpstr>
      <vt:lpstr>'140823-1230 (2)'!LINHA_DE_PRODUTO_04</vt:lpstr>
      <vt:lpstr>'PATRICIA MIRRA (2)'!LINHA_DE_PRODUTO_04</vt:lpstr>
      <vt:lpstr>LINHA_DE_PRODUTO_04</vt:lpstr>
      <vt:lpstr>'078-14 (2)'!LINHA_DE_PRODUTO_05</vt:lpstr>
      <vt:lpstr>'140823-1230'!LINHA_DE_PRODUTO_05</vt:lpstr>
      <vt:lpstr>'140823-1230 (2)'!LINHA_DE_PRODUTO_05</vt:lpstr>
      <vt:lpstr>'PATRICIA MIRRA (2)'!LINHA_DE_PRODUTO_05</vt:lpstr>
      <vt:lpstr>LINHA_DE_PRODUTO_05</vt:lpstr>
      <vt:lpstr>'078-14 (2)'!LINHA_DE_PRODUTO_06</vt:lpstr>
      <vt:lpstr>'140823-1230'!LINHA_DE_PRODUTO_06</vt:lpstr>
      <vt:lpstr>'140823-1230 (2)'!LINHA_DE_PRODUTO_06</vt:lpstr>
      <vt:lpstr>'PATRICIA MIRRA (2)'!LINHA_DE_PRODUTO_06</vt:lpstr>
      <vt:lpstr>LINHA_DE_PRODUTO_06</vt:lpstr>
      <vt:lpstr>'078-14 (2)'!LINHA_DE_PRODUTO_07</vt:lpstr>
      <vt:lpstr>'140823-1230'!LINHA_DE_PRODUTO_07</vt:lpstr>
      <vt:lpstr>'140823-1230 (2)'!LINHA_DE_PRODUTO_07</vt:lpstr>
      <vt:lpstr>'PATRICIA MIRRA (2)'!LINHA_DE_PRODUTO_07</vt:lpstr>
      <vt:lpstr>LINHA_DE_PRODUTO_07</vt:lpstr>
      <vt:lpstr>'078-14 (2)'!LINHA_DE_PRODUTO_08</vt:lpstr>
      <vt:lpstr>'140823-1230'!LINHA_DE_PRODUTO_08</vt:lpstr>
      <vt:lpstr>'140823-1230 (2)'!LINHA_DE_PRODUTO_08</vt:lpstr>
      <vt:lpstr>'PATRICIA MIRRA (2)'!LINHA_DE_PRODUTO_08</vt:lpstr>
      <vt:lpstr>LINHA_DE_PRODUTO_08</vt:lpstr>
      <vt:lpstr>'078-14 (2)'!MARGEM_MINIMA_01</vt:lpstr>
      <vt:lpstr>'140823-1230'!MARGEM_MINIMA_01</vt:lpstr>
      <vt:lpstr>'140823-1230 (2)'!MARGEM_MINIMA_01</vt:lpstr>
      <vt:lpstr>'PATRICIA MIRRA (2)'!MARGEM_MINIMA_01</vt:lpstr>
      <vt:lpstr>MARGEM_MINIMA_01</vt:lpstr>
      <vt:lpstr>'078-14 (2)'!MARGEM_MINIMA_02</vt:lpstr>
      <vt:lpstr>'140823-1230'!MARGEM_MINIMA_02</vt:lpstr>
      <vt:lpstr>'140823-1230 (2)'!MARGEM_MINIMA_02</vt:lpstr>
      <vt:lpstr>'PATRICIA MIRRA (2)'!MARGEM_MINIMA_02</vt:lpstr>
      <vt:lpstr>MARGEM_MINIMA_02</vt:lpstr>
      <vt:lpstr>'078-14 (2)'!MARGEM_MINIMA_03</vt:lpstr>
      <vt:lpstr>'140823-1230'!MARGEM_MINIMA_03</vt:lpstr>
      <vt:lpstr>'140823-1230 (2)'!MARGEM_MINIMA_03</vt:lpstr>
      <vt:lpstr>'PATRICIA MIRRA (2)'!MARGEM_MINIMA_03</vt:lpstr>
      <vt:lpstr>MARGEM_MINIMA_03</vt:lpstr>
      <vt:lpstr>'078-14 (2)'!MARGEM_MINIMA_04</vt:lpstr>
      <vt:lpstr>'140823-1230'!MARGEM_MINIMA_04</vt:lpstr>
      <vt:lpstr>'140823-1230 (2)'!MARGEM_MINIMA_04</vt:lpstr>
      <vt:lpstr>'PATRICIA MIRRA (2)'!MARGEM_MINIMA_04</vt:lpstr>
      <vt:lpstr>MARGEM_MINIMA_04</vt:lpstr>
      <vt:lpstr>'078-14 (2)'!MARGEM_MINIMA_05</vt:lpstr>
      <vt:lpstr>'140823-1230'!MARGEM_MINIMA_05</vt:lpstr>
      <vt:lpstr>'140823-1230 (2)'!MARGEM_MINIMA_05</vt:lpstr>
      <vt:lpstr>'PATRICIA MIRRA (2)'!MARGEM_MINIMA_05</vt:lpstr>
      <vt:lpstr>MARGEM_MINIMA_05</vt:lpstr>
      <vt:lpstr>'078-14 (2)'!MARGEM_MINIMA_06</vt:lpstr>
      <vt:lpstr>'140823-1230'!MARGEM_MINIMA_06</vt:lpstr>
      <vt:lpstr>'140823-1230 (2)'!MARGEM_MINIMA_06</vt:lpstr>
      <vt:lpstr>'PATRICIA MIRRA (2)'!MARGEM_MINIMA_06</vt:lpstr>
      <vt:lpstr>MARGEM_MINIMA_06</vt:lpstr>
      <vt:lpstr>'078-14 (2)'!MARGEM_MINIMA_07</vt:lpstr>
      <vt:lpstr>'140823-1230'!MARGEM_MINIMA_07</vt:lpstr>
      <vt:lpstr>'140823-1230 (2)'!MARGEM_MINIMA_07</vt:lpstr>
      <vt:lpstr>'PATRICIA MIRRA (2)'!MARGEM_MINIMA_07</vt:lpstr>
      <vt:lpstr>MARGEM_MINIMA_07</vt:lpstr>
      <vt:lpstr>'078-14 (2)'!MARGEM_MINIMA_08</vt:lpstr>
      <vt:lpstr>'140823-1230'!MARGEM_MINIMA_08</vt:lpstr>
      <vt:lpstr>'140823-1230 (2)'!MARGEM_MINIMA_08</vt:lpstr>
      <vt:lpstr>'PATRICIA MIRRA (2)'!MARGEM_MINIMA_08</vt:lpstr>
      <vt:lpstr>MARGEM_MINIMA_08</vt:lpstr>
      <vt:lpstr>'078-14 (2)'!MargemBrutaComprasMKT_01</vt:lpstr>
      <vt:lpstr>'140823-1230'!MargemBrutaComprasMKT_01</vt:lpstr>
      <vt:lpstr>'140823-1230 (2)'!MargemBrutaComprasMKT_01</vt:lpstr>
      <vt:lpstr>'PATRICIA MIRRA (2)'!MargemBrutaComprasMKT_01</vt:lpstr>
      <vt:lpstr>MargemBrutaComprasMKT_01</vt:lpstr>
      <vt:lpstr>'078-14 (2)'!MargemBrutaComprasMKT_02</vt:lpstr>
      <vt:lpstr>'140823-1230'!MargemBrutaComprasMKT_02</vt:lpstr>
      <vt:lpstr>'140823-1230 (2)'!MargemBrutaComprasMKT_02</vt:lpstr>
      <vt:lpstr>'PATRICIA MIRRA (2)'!MargemBrutaComprasMKT_02</vt:lpstr>
      <vt:lpstr>MargemBrutaComprasMKT_02</vt:lpstr>
      <vt:lpstr>'078-14 (2)'!MargemBrutaComprasMKT_03</vt:lpstr>
      <vt:lpstr>'140823-1230'!MargemBrutaComprasMKT_03</vt:lpstr>
      <vt:lpstr>'140823-1230 (2)'!MargemBrutaComprasMKT_03</vt:lpstr>
      <vt:lpstr>'PATRICIA MIRRA (2)'!MargemBrutaComprasMKT_03</vt:lpstr>
      <vt:lpstr>MargemBrutaComprasMKT_03</vt:lpstr>
      <vt:lpstr>'078-14 (2)'!MargemBrutaComprasMKT_04</vt:lpstr>
      <vt:lpstr>'140823-1230'!MargemBrutaComprasMKT_04</vt:lpstr>
      <vt:lpstr>'140823-1230 (2)'!MargemBrutaComprasMKT_04</vt:lpstr>
      <vt:lpstr>'PATRICIA MIRRA (2)'!MargemBrutaComprasMKT_04</vt:lpstr>
      <vt:lpstr>MargemBrutaComprasMKT_04</vt:lpstr>
      <vt:lpstr>'078-14 (2)'!MargemBrutaComprasMKT_05</vt:lpstr>
      <vt:lpstr>'140823-1230'!MargemBrutaComprasMKT_05</vt:lpstr>
      <vt:lpstr>'140823-1230 (2)'!MargemBrutaComprasMKT_05</vt:lpstr>
      <vt:lpstr>'PATRICIA MIRRA (2)'!MargemBrutaComprasMKT_05</vt:lpstr>
      <vt:lpstr>MargemBrutaComprasMKT_05</vt:lpstr>
      <vt:lpstr>'078-14 (2)'!MargemBrutaComprasMKT_06</vt:lpstr>
      <vt:lpstr>'140823-1230'!MargemBrutaComprasMKT_06</vt:lpstr>
      <vt:lpstr>'140823-1230 (2)'!MargemBrutaComprasMKT_06</vt:lpstr>
      <vt:lpstr>'PATRICIA MIRRA (2)'!MargemBrutaComprasMKT_06</vt:lpstr>
      <vt:lpstr>MargemBrutaComprasMKT_06</vt:lpstr>
      <vt:lpstr>'078-14 (2)'!MargemBrutaComprasMKT_07</vt:lpstr>
      <vt:lpstr>'140823-1230'!MargemBrutaComprasMKT_07</vt:lpstr>
      <vt:lpstr>'140823-1230 (2)'!MargemBrutaComprasMKT_07</vt:lpstr>
      <vt:lpstr>'PATRICIA MIRRA (2)'!MargemBrutaComprasMKT_07</vt:lpstr>
      <vt:lpstr>MargemBrutaComprasMKT_07</vt:lpstr>
      <vt:lpstr>'078-14 (2)'!MargemBrutaComprasMKT_08</vt:lpstr>
      <vt:lpstr>'140823-1230'!MargemBrutaComprasMKT_08</vt:lpstr>
      <vt:lpstr>'140823-1230 (2)'!MargemBrutaComprasMKT_08</vt:lpstr>
      <vt:lpstr>'PATRICIA MIRRA (2)'!MargemBrutaComprasMKT_08</vt:lpstr>
      <vt:lpstr>MargemBrutaComprasMKT_08</vt:lpstr>
      <vt:lpstr>'078-14 (2)'!MargemBrutaMKT_01</vt:lpstr>
      <vt:lpstr>'140823-1230'!MargemBrutaMKT_01</vt:lpstr>
      <vt:lpstr>'140823-1230 (2)'!MargemBrutaMKT_01</vt:lpstr>
      <vt:lpstr>'PATRICIA MIRRA (2)'!MargemBrutaMKT_01</vt:lpstr>
      <vt:lpstr>MargemBrutaMKT_01</vt:lpstr>
      <vt:lpstr>'078-14 (2)'!MargemBrutaMKT_02</vt:lpstr>
      <vt:lpstr>'140823-1230'!MargemBrutaMKT_02</vt:lpstr>
      <vt:lpstr>'140823-1230 (2)'!MargemBrutaMKT_02</vt:lpstr>
      <vt:lpstr>'PATRICIA MIRRA (2)'!MargemBrutaMKT_02</vt:lpstr>
      <vt:lpstr>MargemBrutaMKT_02</vt:lpstr>
      <vt:lpstr>'078-14 (2)'!MargemBrutaMKT_03</vt:lpstr>
      <vt:lpstr>'140823-1230'!MargemBrutaMKT_03</vt:lpstr>
      <vt:lpstr>'140823-1230 (2)'!MargemBrutaMKT_03</vt:lpstr>
      <vt:lpstr>'PATRICIA MIRRA (2)'!MargemBrutaMKT_03</vt:lpstr>
      <vt:lpstr>MargemBrutaMKT_03</vt:lpstr>
      <vt:lpstr>'078-14 (2)'!MargemBrutaMKT_04</vt:lpstr>
      <vt:lpstr>'140823-1230'!MargemBrutaMKT_04</vt:lpstr>
      <vt:lpstr>'140823-1230 (2)'!MargemBrutaMKT_04</vt:lpstr>
      <vt:lpstr>'PATRICIA MIRRA (2)'!MargemBrutaMKT_04</vt:lpstr>
      <vt:lpstr>MargemBrutaMKT_04</vt:lpstr>
      <vt:lpstr>'078-14 (2)'!MargemBrutaMKT_05</vt:lpstr>
      <vt:lpstr>'140823-1230'!MargemBrutaMKT_05</vt:lpstr>
      <vt:lpstr>'140823-1230 (2)'!MargemBrutaMKT_05</vt:lpstr>
      <vt:lpstr>'PATRICIA MIRRA (2)'!MargemBrutaMKT_05</vt:lpstr>
      <vt:lpstr>MargemBrutaMKT_05</vt:lpstr>
      <vt:lpstr>'078-14 (2)'!MargemBrutaMKT_06</vt:lpstr>
      <vt:lpstr>'140823-1230'!MargemBrutaMKT_06</vt:lpstr>
      <vt:lpstr>'140823-1230 (2)'!MargemBrutaMKT_06</vt:lpstr>
      <vt:lpstr>'PATRICIA MIRRA (2)'!MargemBrutaMKT_06</vt:lpstr>
      <vt:lpstr>MargemBrutaMKT_06</vt:lpstr>
      <vt:lpstr>'078-14 (2)'!MargemBrutaMKT_07</vt:lpstr>
      <vt:lpstr>'140823-1230'!MargemBrutaMKT_07</vt:lpstr>
      <vt:lpstr>'140823-1230 (2)'!MargemBrutaMKT_07</vt:lpstr>
      <vt:lpstr>'PATRICIA MIRRA (2)'!MargemBrutaMKT_07</vt:lpstr>
      <vt:lpstr>MargemBrutaMKT_07</vt:lpstr>
      <vt:lpstr>'078-14 (2)'!MargemBrutaMKT_08</vt:lpstr>
      <vt:lpstr>'140823-1230'!MargemBrutaMKT_08</vt:lpstr>
      <vt:lpstr>'140823-1230 (2)'!MargemBrutaMKT_08</vt:lpstr>
      <vt:lpstr>'PATRICIA MIRRA (2)'!MargemBrutaMKT_08</vt:lpstr>
      <vt:lpstr>MargemBrutaMKT_08</vt:lpstr>
      <vt:lpstr>'078-14 (2)'!MargemMinimaCompras_01</vt:lpstr>
      <vt:lpstr>'140823-1230'!MargemMinimaCompras_01</vt:lpstr>
      <vt:lpstr>'140823-1230 (2)'!MargemMinimaCompras_01</vt:lpstr>
      <vt:lpstr>'PATRICIA MIRRA (2)'!MargemMinimaCompras_01</vt:lpstr>
      <vt:lpstr>MargemMinimaCompras_01</vt:lpstr>
      <vt:lpstr>'078-14 (2)'!MargemMinimaCompras_02</vt:lpstr>
      <vt:lpstr>'140823-1230'!MargemMinimaCompras_02</vt:lpstr>
      <vt:lpstr>'140823-1230 (2)'!MargemMinimaCompras_02</vt:lpstr>
      <vt:lpstr>'PATRICIA MIRRA (2)'!MargemMinimaCompras_02</vt:lpstr>
      <vt:lpstr>MargemMinimaCompras_02</vt:lpstr>
      <vt:lpstr>'078-14 (2)'!MargemMinimaCompras_03</vt:lpstr>
      <vt:lpstr>'140823-1230'!MargemMinimaCompras_03</vt:lpstr>
      <vt:lpstr>'140823-1230 (2)'!MargemMinimaCompras_03</vt:lpstr>
      <vt:lpstr>'PATRICIA MIRRA (2)'!MargemMinimaCompras_03</vt:lpstr>
      <vt:lpstr>MargemMinimaCompras_03</vt:lpstr>
      <vt:lpstr>'078-14 (2)'!MargemMinimaCompras_04</vt:lpstr>
      <vt:lpstr>'140823-1230'!MargemMinimaCompras_04</vt:lpstr>
      <vt:lpstr>'140823-1230 (2)'!MargemMinimaCompras_04</vt:lpstr>
      <vt:lpstr>'PATRICIA MIRRA (2)'!MargemMinimaCompras_04</vt:lpstr>
      <vt:lpstr>MargemMinimaCompras_04</vt:lpstr>
      <vt:lpstr>'078-14 (2)'!MargemMinimaCompras_05</vt:lpstr>
      <vt:lpstr>'140823-1230'!MargemMinimaCompras_05</vt:lpstr>
      <vt:lpstr>'140823-1230 (2)'!MargemMinimaCompras_05</vt:lpstr>
      <vt:lpstr>'PATRICIA MIRRA (2)'!MargemMinimaCompras_05</vt:lpstr>
      <vt:lpstr>MargemMinimaCompras_05</vt:lpstr>
      <vt:lpstr>'078-14 (2)'!MargemMinimaCompras_06</vt:lpstr>
      <vt:lpstr>'140823-1230'!MargemMinimaCompras_06</vt:lpstr>
      <vt:lpstr>'140823-1230 (2)'!MargemMinimaCompras_06</vt:lpstr>
      <vt:lpstr>'PATRICIA MIRRA (2)'!MargemMinimaCompras_06</vt:lpstr>
      <vt:lpstr>MargemMinimaCompras_06</vt:lpstr>
      <vt:lpstr>'078-14 (2)'!MargemMinimaCompras_07</vt:lpstr>
      <vt:lpstr>'140823-1230'!MargemMinimaCompras_07</vt:lpstr>
      <vt:lpstr>'140823-1230 (2)'!MargemMinimaCompras_07</vt:lpstr>
      <vt:lpstr>'PATRICIA MIRRA (2)'!MargemMinimaCompras_07</vt:lpstr>
      <vt:lpstr>MargemMinimaCompras_07</vt:lpstr>
      <vt:lpstr>'078-14 (2)'!MargemMinimaCompras_08</vt:lpstr>
      <vt:lpstr>'140823-1230'!MargemMinimaCompras_08</vt:lpstr>
      <vt:lpstr>'140823-1230 (2)'!MargemMinimaCompras_08</vt:lpstr>
      <vt:lpstr>'PATRICIA MIRRA (2)'!MargemMinimaCompras_08</vt:lpstr>
      <vt:lpstr>MargemMinimaCompras_08</vt:lpstr>
      <vt:lpstr>'078-14 (2)'!MargemMKT_01</vt:lpstr>
      <vt:lpstr>'140823-1230'!MargemMKT_01</vt:lpstr>
      <vt:lpstr>'140823-1230 (2)'!MargemMKT_01</vt:lpstr>
      <vt:lpstr>'PATRICIA MIRRA (2)'!MargemMKT_01</vt:lpstr>
      <vt:lpstr>MargemMKT_01</vt:lpstr>
      <vt:lpstr>'078-14 (2)'!MargemMKT_02</vt:lpstr>
      <vt:lpstr>'140823-1230'!MargemMKT_02</vt:lpstr>
      <vt:lpstr>'140823-1230 (2)'!MargemMKT_02</vt:lpstr>
      <vt:lpstr>'PATRICIA MIRRA (2)'!MargemMKT_02</vt:lpstr>
      <vt:lpstr>MargemMKT_02</vt:lpstr>
      <vt:lpstr>'078-14 (2)'!MargemMKT_03</vt:lpstr>
      <vt:lpstr>'140823-1230'!MargemMKT_03</vt:lpstr>
      <vt:lpstr>'140823-1230 (2)'!MargemMKT_03</vt:lpstr>
      <vt:lpstr>'PATRICIA MIRRA (2)'!MargemMKT_03</vt:lpstr>
      <vt:lpstr>MargemMKT_03</vt:lpstr>
      <vt:lpstr>'078-14 (2)'!MargemMKT_04</vt:lpstr>
      <vt:lpstr>'140823-1230'!MargemMKT_04</vt:lpstr>
      <vt:lpstr>'140823-1230 (2)'!MargemMKT_04</vt:lpstr>
      <vt:lpstr>'PATRICIA MIRRA (2)'!MargemMKT_04</vt:lpstr>
      <vt:lpstr>MargemMKT_04</vt:lpstr>
      <vt:lpstr>'078-14 (2)'!MargemMKT_05</vt:lpstr>
      <vt:lpstr>'140823-1230'!MargemMKT_05</vt:lpstr>
      <vt:lpstr>'140823-1230 (2)'!MargemMKT_05</vt:lpstr>
      <vt:lpstr>'PATRICIA MIRRA (2)'!MargemMKT_05</vt:lpstr>
      <vt:lpstr>MargemMKT_05</vt:lpstr>
      <vt:lpstr>'078-14 (2)'!MargemMKT_06</vt:lpstr>
      <vt:lpstr>'140823-1230'!MargemMKT_06</vt:lpstr>
      <vt:lpstr>'140823-1230 (2)'!MargemMKT_06</vt:lpstr>
      <vt:lpstr>'PATRICIA MIRRA (2)'!MargemMKT_06</vt:lpstr>
      <vt:lpstr>MargemMKT_06</vt:lpstr>
      <vt:lpstr>'078-14 (2)'!MargemMKT_07</vt:lpstr>
      <vt:lpstr>'140823-1230'!MargemMKT_07</vt:lpstr>
      <vt:lpstr>'140823-1230 (2)'!MargemMKT_07</vt:lpstr>
      <vt:lpstr>'PATRICIA MIRRA (2)'!MargemMKT_07</vt:lpstr>
      <vt:lpstr>MargemMKT_07</vt:lpstr>
      <vt:lpstr>'078-14 (2)'!MargemMKT_08</vt:lpstr>
      <vt:lpstr>'140823-1230'!MargemMKT_08</vt:lpstr>
      <vt:lpstr>'140823-1230 (2)'!MargemMKT_08</vt:lpstr>
      <vt:lpstr>'PATRICIA MIRRA (2)'!MargemMKT_08</vt:lpstr>
      <vt:lpstr>MargemMKT_08</vt:lpstr>
      <vt:lpstr>'078-14 (2)'!Moeda_01</vt:lpstr>
      <vt:lpstr>'140823-1230'!Moeda_01</vt:lpstr>
      <vt:lpstr>'140823-1230 (2)'!Moeda_01</vt:lpstr>
      <vt:lpstr>'PATRICIA MIRRA (2)'!Moeda_01</vt:lpstr>
      <vt:lpstr>Moeda_01</vt:lpstr>
      <vt:lpstr>'078-14 (2)'!Moeda_02</vt:lpstr>
      <vt:lpstr>'140823-1230'!Moeda_02</vt:lpstr>
      <vt:lpstr>'140823-1230 (2)'!Moeda_02</vt:lpstr>
      <vt:lpstr>'PATRICIA MIRRA (2)'!Moeda_02</vt:lpstr>
      <vt:lpstr>Moeda_02</vt:lpstr>
      <vt:lpstr>'078-14 (2)'!Moeda_03</vt:lpstr>
      <vt:lpstr>'140823-1230'!Moeda_03</vt:lpstr>
      <vt:lpstr>'140823-1230 (2)'!Moeda_03</vt:lpstr>
      <vt:lpstr>'PATRICIA MIRRA (2)'!Moeda_03</vt:lpstr>
      <vt:lpstr>Moeda_03</vt:lpstr>
      <vt:lpstr>'078-14 (2)'!Moeda_04</vt:lpstr>
      <vt:lpstr>'140823-1230'!Moeda_04</vt:lpstr>
      <vt:lpstr>'140823-1230 (2)'!Moeda_04</vt:lpstr>
      <vt:lpstr>'PATRICIA MIRRA (2)'!Moeda_04</vt:lpstr>
      <vt:lpstr>Moeda_04</vt:lpstr>
      <vt:lpstr>'078-14 (2)'!Moeda_05</vt:lpstr>
      <vt:lpstr>'140823-1230'!Moeda_05</vt:lpstr>
      <vt:lpstr>'140823-1230 (2)'!Moeda_05</vt:lpstr>
      <vt:lpstr>'PATRICIA MIRRA (2)'!Moeda_05</vt:lpstr>
      <vt:lpstr>Moeda_05</vt:lpstr>
      <vt:lpstr>'078-14 (2)'!Moeda_06</vt:lpstr>
      <vt:lpstr>'140823-1230'!Moeda_06</vt:lpstr>
      <vt:lpstr>'140823-1230 (2)'!Moeda_06</vt:lpstr>
      <vt:lpstr>'PATRICIA MIRRA (2)'!Moeda_06</vt:lpstr>
      <vt:lpstr>Moeda_06</vt:lpstr>
      <vt:lpstr>'078-14 (2)'!Moeda_07</vt:lpstr>
      <vt:lpstr>'140823-1230'!Moeda_07</vt:lpstr>
      <vt:lpstr>'140823-1230 (2)'!Moeda_07</vt:lpstr>
      <vt:lpstr>'PATRICIA MIRRA (2)'!Moeda_07</vt:lpstr>
      <vt:lpstr>Moeda_07</vt:lpstr>
      <vt:lpstr>'078-14 (2)'!Moeda_08</vt:lpstr>
      <vt:lpstr>'140823-1230'!Moeda_08</vt:lpstr>
      <vt:lpstr>'140823-1230 (2)'!Moeda_08</vt:lpstr>
      <vt:lpstr>'PATRICIA MIRRA (2)'!Moeda_08</vt:lpstr>
      <vt:lpstr>Moeda_08</vt:lpstr>
      <vt:lpstr>PRECO_VENDA_COMPRAS_01</vt:lpstr>
      <vt:lpstr>PRECO_VENDA_COMPRAS_02</vt:lpstr>
      <vt:lpstr>PRECO_VENDA_COMPRAS_03</vt:lpstr>
      <vt:lpstr>PRECO_VENDA_COMPRAS_04</vt:lpstr>
      <vt:lpstr>PRECO_VENDA_COMPRAS_05</vt:lpstr>
      <vt:lpstr>PRECO_VENDA_COMPRAS_06</vt:lpstr>
      <vt:lpstr>PRECO_VENDA_COMPRAS_07</vt:lpstr>
      <vt:lpstr>PRECO_VENDA_COMPRAS_08</vt:lpstr>
      <vt:lpstr>'078-14 (2)'!PRECO_VENDA_GROSS_01</vt:lpstr>
      <vt:lpstr>'140823-1230'!PRECO_VENDA_GROSS_01</vt:lpstr>
      <vt:lpstr>'140823-1230 (2)'!PRECO_VENDA_GROSS_01</vt:lpstr>
      <vt:lpstr>'PATRICIA MIRRA (2)'!PRECO_VENDA_GROSS_01</vt:lpstr>
      <vt:lpstr>PRECO_VENDA_GROSS_01</vt:lpstr>
      <vt:lpstr>'078-14 (2)'!PRECO_VENDA_GROSS_02</vt:lpstr>
      <vt:lpstr>'140823-1230'!PRECO_VENDA_GROSS_02</vt:lpstr>
      <vt:lpstr>'140823-1230 (2)'!PRECO_VENDA_GROSS_02</vt:lpstr>
      <vt:lpstr>'PATRICIA MIRRA (2)'!PRECO_VENDA_GROSS_02</vt:lpstr>
      <vt:lpstr>PRECO_VENDA_GROSS_02</vt:lpstr>
      <vt:lpstr>'078-14 (2)'!PRECO_VENDA_GROSS_03</vt:lpstr>
      <vt:lpstr>'140823-1230'!PRECO_VENDA_GROSS_03</vt:lpstr>
      <vt:lpstr>'140823-1230 (2)'!PRECO_VENDA_GROSS_03</vt:lpstr>
      <vt:lpstr>'PATRICIA MIRRA (2)'!PRECO_VENDA_GROSS_03</vt:lpstr>
      <vt:lpstr>PRECO_VENDA_GROSS_03</vt:lpstr>
      <vt:lpstr>'078-14 (2)'!PRECO_VENDA_GROSS_04</vt:lpstr>
      <vt:lpstr>'140823-1230'!PRECO_VENDA_GROSS_04</vt:lpstr>
      <vt:lpstr>'140823-1230 (2)'!PRECO_VENDA_GROSS_04</vt:lpstr>
      <vt:lpstr>'PATRICIA MIRRA (2)'!PRECO_VENDA_GROSS_04</vt:lpstr>
      <vt:lpstr>PRECO_VENDA_GROSS_04</vt:lpstr>
      <vt:lpstr>'078-14 (2)'!PRECO_VENDA_GROSS_05</vt:lpstr>
      <vt:lpstr>'140823-1230'!PRECO_VENDA_GROSS_05</vt:lpstr>
      <vt:lpstr>'140823-1230 (2)'!PRECO_VENDA_GROSS_05</vt:lpstr>
      <vt:lpstr>'PATRICIA MIRRA (2)'!PRECO_VENDA_GROSS_05</vt:lpstr>
      <vt:lpstr>PRECO_VENDA_GROSS_05</vt:lpstr>
      <vt:lpstr>'078-14 (2)'!PRECO_VENDA_GROSS_06</vt:lpstr>
      <vt:lpstr>'140823-1230'!PRECO_VENDA_GROSS_06</vt:lpstr>
      <vt:lpstr>'140823-1230 (2)'!PRECO_VENDA_GROSS_06</vt:lpstr>
      <vt:lpstr>'PATRICIA MIRRA (2)'!PRECO_VENDA_GROSS_06</vt:lpstr>
      <vt:lpstr>PRECO_VENDA_GROSS_06</vt:lpstr>
      <vt:lpstr>'078-14 (2)'!PRECO_VENDA_GROSS_07</vt:lpstr>
      <vt:lpstr>'140823-1230'!PRECO_VENDA_GROSS_07</vt:lpstr>
      <vt:lpstr>'140823-1230 (2)'!PRECO_VENDA_GROSS_07</vt:lpstr>
      <vt:lpstr>'PATRICIA MIRRA (2)'!PRECO_VENDA_GROSS_07</vt:lpstr>
      <vt:lpstr>PRECO_VENDA_GROSS_07</vt:lpstr>
      <vt:lpstr>'078-14 (2)'!PRECO_VENDA_GROSS_08</vt:lpstr>
      <vt:lpstr>'140823-1230'!PRECO_VENDA_GROSS_08</vt:lpstr>
      <vt:lpstr>'140823-1230 (2)'!PRECO_VENDA_GROSS_08</vt:lpstr>
      <vt:lpstr>'PATRICIA MIRRA (2)'!PRECO_VENDA_GROSS_08</vt:lpstr>
      <vt:lpstr>PRECO_VENDA_GROSS_08</vt:lpstr>
      <vt:lpstr>'078-14 (2)'!PrecoDeCompras_01</vt:lpstr>
      <vt:lpstr>'140823-1230'!PrecoDeCompras_01</vt:lpstr>
      <vt:lpstr>'140823-1230 (2)'!PrecoDeCompras_01</vt:lpstr>
      <vt:lpstr>'PATRICIA MIRRA (2)'!PrecoDeCompras_01</vt:lpstr>
      <vt:lpstr>PrecoDeCompras_01</vt:lpstr>
      <vt:lpstr>'078-14 (2)'!PrecoDeCompras_02</vt:lpstr>
      <vt:lpstr>'140823-1230'!PrecoDeCompras_02</vt:lpstr>
      <vt:lpstr>'140823-1230 (2)'!PrecoDeCompras_02</vt:lpstr>
      <vt:lpstr>'PATRICIA MIRRA (2)'!PrecoDeCompras_02</vt:lpstr>
      <vt:lpstr>PrecoDeCompras_02</vt:lpstr>
      <vt:lpstr>'078-14 (2)'!PrecoDeCompras_03</vt:lpstr>
      <vt:lpstr>'140823-1230'!PrecoDeCompras_03</vt:lpstr>
      <vt:lpstr>'140823-1230 (2)'!PrecoDeCompras_03</vt:lpstr>
      <vt:lpstr>'PATRICIA MIRRA (2)'!PrecoDeCompras_03</vt:lpstr>
      <vt:lpstr>PrecoDeCompras_03</vt:lpstr>
      <vt:lpstr>'078-14 (2)'!PrecoDeCompras_04</vt:lpstr>
      <vt:lpstr>'140823-1230'!PrecoDeCompras_04</vt:lpstr>
      <vt:lpstr>'140823-1230 (2)'!PrecoDeCompras_04</vt:lpstr>
      <vt:lpstr>'PATRICIA MIRRA (2)'!PrecoDeCompras_04</vt:lpstr>
      <vt:lpstr>PrecoDeCompras_04</vt:lpstr>
      <vt:lpstr>'078-14 (2)'!PrecoDeCompras_05</vt:lpstr>
      <vt:lpstr>'140823-1230'!PrecoDeCompras_05</vt:lpstr>
      <vt:lpstr>'140823-1230 (2)'!PrecoDeCompras_05</vt:lpstr>
      <vt:lpstr>'PATRICIA MIRRA (2)'!PrecoDeCompras_05</vt:lpstr>
      <vt:lpstr>PrecoDeCompras_05</vt:lpstr>
      <vt:lpstr>'078-14 (2)'!PrecoDeCompras_06</vt:lpstr>
      <vt:lpstr>'140823-1230'!PrecoDeCompras_06</vt:lpstr>
      <vt:lpstr>'140823-1230 (2)'!PrecoDeCompras_06</vt:lpstr>
      <vt:lpstr>'PATRICIA MIRRA (2)'!PrecoDeCompras_06</vt:lpstr>
      <vt:lpstr>PrecoDeCompras_06</vt:lpstr>
      <vt:lpstr>'078-14 (2)'!PrecoDeCompras_07</vt:lpstr>
      <vt:lpstr>'140823-1230'!PrecoDeCompras_07</vt:lpstr>
      <vt:lpstr>'140823-1230 (2)'!PrecoDeCompras_07</vt:lpstr>
      <vt:lpstr>'PATRICIA MIRRA (2)'!PrecoDeCompras_07</vt:lpstr>
      <vt:lpstr>PrecoDeCompras_07</vt:lpstr>
      <vt:lpstr>'078-14 (2)'!PrecoDeCompras_08</vt:lpstr>
      <vt:lpstr>'140823-1230'!PrecoDeCompras_08</vt:lpstr>
      <vt:lpstr>'140823-1230 (2)'!PrecoDeCompras_08</vt:lpstr>
      <vt:lpstr>'PATRICIA MIRRA (2)'!PrecoDeCompras_08</vt:lpstr>
      <vt:lpstr>PrecoDeCompras_08</vt:lpstr>
      <vt:lpstr>'078-14 (2)'!PrecoMKT_01</vt:lpstr>
      <vt:lpstr>'140823-1230'!PrecoMKT_01</vt:lpstr>
      <vt:lpstr>'140823-1230 (2)'!PrecoMKT_01</vt:lpstr>
      <vt:lpstr>'PATRICIA MIRRA (2)'!PrecoMKT_01</vt:lpstr>
      <vt:lpstr>PrecoMKT_01</vt:lpstr>
      <vt:lpstr>'078-14 (2)'!PrecoMKT_02</vt:lpstr>
      <vt:lpstr>'140823-1230'!PrecoMKT_02</vt:lpstr>
      <vt:lpstr>'140823-1230 (2)'!PrecoMKT_02</vt:lpstr>
      <vt:lpstr>'PATRICIA MIRRA (2)'!PrecoMKT_02</vt:lpstr>
      <vt:lpstr>PrecoMKT_02</vt:lpstr>
      <vt:lpstr>'078-14 (2)'!PrecoMKT_03</vt:lpstr>
      <vt:lpstr>'140823-1230'!PrecoMKT_03</vt:lpstr>
      <vt:lpstr>'140823-1230 (2)'!PrecoMKT_03</vt:lpstr>
      <vt:lpstr>'PATRICIA MIRRA (2)'!PrecoMKT_03</vt:lpstr>
      <vt:lpstr>PrecoMKT_03</vt:lpstr>
      <vt:lpstr>'078-14 (2)'!PrecoMKT_04</vt:lpstr>
      <vt:lpstr>'140823-1230'!PrecoMKT_04</vt:lpstr>
      <vt:lpstr>'140823-1230 (2)'!PrecoMKT_04</vt:lpstr>
      <vt:lpstr>'PATRICIA MIRRA (2)'!PrecoMKT_04</vt:lpstr>
      <vt:lpstr>PrecoMKT_04</vt:lpstr>
      <vt:lpstr>'078-14 (2)'!PrecoMKT_05</vt:lpstr>
      <vt:lpstr>'140823-1230'!PrecoMKT_05</vt:lpstr>
      <vt:lpstr>'140823-1230 (2)'!PrecoMKT_05</vt:lpstr>
      <vt:lpstr>'PATRICIA MIRRA (2)'!PrecoMKT_05</vt:lpstr>
      <vt:lpstr>PrecoMKT_05</vt:lpstr>
      <vt:lpstr>'078-14 (2)'!PrecoMKT_06</vt:lpstr>
      <vt:lpstr>'140823-1230'!PrecoMKT_06</vt:lpstr>
      <vt:lpstr>'140823-1230 (2)'!PrecoMKT_06</vt:lpstr>
      <vt:lpstr>'PATRICIA MIRRA (2)'!PrecoMKT_06</vt:lpstr>
      <vt:lpstr>PrecoMKT_06</vt:lpstr>
      <vt:lpstr>'078-14 (2)'!PrecoMKT_07</vt:lpstr>
      <vt:lpstr>'140823-1230'!PrecoMKT_07</vt:lpstr>
      <vt:lpstr>'140823-1230 (2)'!PrecoMKT_07</vt:lpstr>
      <vt:lpstr>'PATRICIA MIRRA (2)'!PrecoMKT_07</vt:lpstr>
      <vt:lpstr>PrecoMKT_07</vt:lpstr>
      <vt:lpstr>'078-14 (2)'!PrecoMKT_08</vt:lpstr>
      <vt:lpstr>'140823-1230'!PrecoMKT_08</vt:lpstr>
      <vt:lpstr>'140823-1230 (2)'!PrecoMKT_08</vt:lpstr>
      <vt:lpstr>'PATRICIA MIRRA (2)'!PrecoMKT_08</vt:lpstr>
      <vt:lpstr>PrecoMKT_08</vt:lpstr>
      <vt:lpstr>'078-14 (2)'!PrecoTotal_01</vt:lpstr>
      <vt:lpstr>'140823-1230'!PrecoTotal_01</vt:lpstr>
      <vt:lpstr>'140823-1230 (2)'!PrecoTotal_01</vt:lpstr>
      <vt:lpstr>'PATRICIA MIRRA (2)'!PrecoTotal_01</vt:lpstr>
      <vt:lpstr>PrecoTotal_01</vt:lpstr>
      <vt:lpstr>'078-14 (2)'!PrecoTotal_02</vt:lpstr>
      <vt:lpstr>'140823-1230'!PrecoTotal_02</vt:lpstr>
      <vt:lpstr>'140823-1230 (2)'!PrecoTotal_02</vt:lpstr>
      <vt:lpstr>'PATRICIA MIRRA (2)'!PrecoTotal_02</vt:lpstr>
      <vt:lpstr>PrecoTotal_02</vt:lpstr>
      <vt:lpstr>'078-14 (2)'!PrecoTotal_03</vt:lpstr>
      <vt:lpstr>'140823-1230'!PrecoTotal_03</vt:lpstr>
      <vt:lpstr>'140823-1230 (2)'!PrecoTotal_03</vt:lpstr>
      <vt:lpstr>'PATRICIA MIRRA (2)'!PrecoTotal_03</vt:lpstr>
      <vt:lpstr>PrecoTotal_03</vt:lpstr>
      <vt:lpstr>'078-14 (2)'!PrecoTotal_04</vt:lpstr>
      <vt:lpstr>'140823-1230'!PrecoTotal_04</vt:lpstr>
      <vt:lpstr>'140823-1230 (2)'!PrecoTotal_04</vt:lpstr>
      <vt:lpstr>'PATRICIA MIRRA (2)'!PrecoTotal_04</vt:lpstr>
      <vt:lpstr>PrecoTotal_04</vt:lpstr>
      <vt:lpstr>'078-14 (2)'!PrecoTotal_05</vt:lpstr>
      <vt:lpstr>'140823-1230'!PrecoTotal_05</vt:lpstr>
      <vt:lpstr>'140823-1230 (2)'!PrecoTotal_05</vt:lpstr>
      <vt:lpstr>'PATRICIA MIRRA (2)'!PrecoTotal_05</vt:lpstr>
      <vt:lpstr>PrecoTotal_05</vt:lpstr>
      <vt:lpstr>'078-14 (2)'!PrecoTotal_06</vt:lpstr>
      <vt:lpstr>'140823-1230'!PrecoTotal_06</vt:lpstr>
      <vt:lpstr>'140823-1230 (2)'!PrecoTotal_06</vt:lpstr>
      <vt:lpstr>'PATRICIA MIRRA (2)'!PrecoTotal_06</vt:lpstr>
      <vt:lpstr>PrecoTotal_06</vt:lpstr>
      <vt:lpstr>'078-14 (2)'!PrecoTotal_07</vt:lpstr>
      <vt:lpstr>'140823-1230'!PrecoTotal_07</vt:lpstr>
      <vt:lpstr>'140823-1230 (2)'!PrecoTotal_07</vt:lpstr>
      <vt:lpstr>'PATRICIA MIRRA (2)'!PrecoTotal_07</vt:lpstr>
      <vt:lpstr>PrecoTotal_07</vt:lpstr>
      <vt:lpstr>'078-14 (2)'!PrecoTotal_08</vt:lpstr>
      <vt:lpstr>'140823-1230'!PrecoTotal_08</vt:lpstr>
      <vt:lpstr>'140823-1230 (2)'!PrecoTotal_08</vt:lpstr>
      <vt:lpstr>'PATRICIA MIRRA (2)'!PrecoTotal_08</vt:lpstr>
      <vt:lpstr>PrecoTotal_08</vt:lpstr>
      <vt:lpstr>'078-14 (2)'!PrecoTotalMKT_01</vt:lpstr>
      <vt:lpstr>'140823-1230'!PrecoTotalMKT_01</vt:lpstr>
      <vt:lpstr>'140823-1230 (2)'!PrecoTotalMKT_01</vt:lpstr>
      <vt:lpstr>'PATRICIA MIRRA (2)'!PrecoTotalMKT_01</vt:lpstr>
      <vt:lpstr>PrecoTotalMKT_01</vt:lpstr>
      <vt:lpstr>'078-14 (2)'!PrecoTotalMKT_02</vt:lpstr>
      <vt:lpstr>'140823-1230'!PrecoTotalMKT_02</vt:lpstr>
      <vt:lpstr>'140823-1230 (2)'!PrecoTotalMKT_02</vt:lpstr>
      <vt:lpstr>'PATRICIA MIRRA (2)'!PrecoTotalMKT_02</vt:lpstr>
      <vt:lpstr>PrecoTotalMKT_02</vt:lpstr>
      <vt:lpstr>'078-14 (2)'!PrecoTotalMKT_03</vt:lpstr>
      <vt:lpstr>'140823-1230'!PrecoTotalMKT_03</vt:lpstr>
      <vt:lpstr>'140823-1230 (2)'!PrecoTotalMKT_03</vt:lpstr>
      <vt:lpstr>'PATRICIA MIRRA (2)'!PrecoTotalMKT_03</vt:lpstr>
      <vt:lpstr>PrecoTotalMKT_03</vt:lpstr>
      <vt:lpstr>'078-14 (2)'!PrecoTotalMKT_04</vt:lpstr>
      <vt:lpstr>'140823-1230'!PrecoTotalMKT_04</vt:lpstr>
      <vt:lpstr>'140823-1230 (2)'!PrecoTotalMKT_04</vt:lpstr>
      <vt:lpstr>'PATRICIA MIRRA (2)'!PrecoTotalMKT_04</vt:lpstr>
      <vt:lpstr>PrecoTotalMKT_04</vt:lpstr>
      <vt:lpstr>'078-14 (2)'!PrecoTotalMKT_05</vt:lpstr>
      <vt:lpstr>'140823-1230'!PrecoTotalMKT_05</vt:lpstr>
      <vt:lpstr>'140823-1230 (2)'!PrecoTotalMKT_05</vt:lpstr>
      <vt:lpstr>'PATRICIA MIRRA (2)'!PrecoTotalMKT_05</vt:lpstr>
      <vt:lpstr>PrecoTotalMKT_05</vt:lpstr>
      <vt:lpstr>'078-14 (2)'!PrecoTotalMKT_06</vt:lpstr>
      <vt:lpstr>'140823-1230'!PrecoTotalMKT_06</vt:lpstr>
      <vt:lpstr>'140823-1230 (2)'!PrecoTotalMKT_06</vt:lpstr>
      <vt:lpstr>'PATRICIA MIRRA (2)'!PrecoTotalMKT_06</vt:lpstr>
      <vt:lpstr>PrecoTotalMKT_06</vt:lpstr>
      <vt:lpstr>'078-14 (2)'!PrecoTotalMKT_07</vt:lpstr>
      <vt:lpstr>'140823-1230'!PrecoTotalMKT_07</vt:lpstr>
      <vt:lpstr>'140823-1230 (2)'!PrecoTotalMKT_07</vt:lpstr>
      <vt:lpstr>'PATRICIA MIRRA (2)'!PrecoTotalMKT_07</vt:lpstr>
      <vt:lpstr>PrecoTotalMKT_07</vt:lpstr>
      <vt:lpstr>'078-14 (2)'!PrecoTotalMKT_08</vt:lpstr>
      <vt:lpstr>'140823-1230'!PrecoTotalMKT_08</vt:lpstr>
      <vt:lpstr>'140823-1230 (2)'!PrecoTotalMKT_08</vt:lpstr>
      <vt:lpstr>'PATRICIA MIRRA (2)'!PrecoTotalMKT_08</vt:lpstr>
      <vt:lpstr>PrecoTotalMKT_08</vt:lpstr>
      <vt:lpstr>'078-14 (2)'!PRODUTO</vt:lpstr>
      <vt:lpstr>'140823-1230'!PRODUTO</vt:lpstr>
      <vt:lpstr>'140823-1230 (2)'!PRODUTO</vt:lpstr>
      <vt:lpstr>'PATRICIA MIRRA (2)'!PRODUTO</vt:lpstr>
      <vt:lpstr>PRODUTO</vt:lpstr>
      <vt:lpstr>'078-14 (2)'!Projetos</vt:lpstr>
      <vt:lpstr>'140823-1230'!Projetos</vt:lpstr>
      <vt:lpstr>'140823-1230 (2)'!Projetos</vt:lpstr>
      <vt:lpstr>'PATRICIA MIRRA (2)'!Projetos</vt:lpstr>
      <vt:lpstr>Projetos</vt:lpstr>
      <vt:lpstr>'078-14 (2)'!ROYALTY_ESPECIE_01</vt:lpstr>
      <vt:lpstr>'140823-1230'!ROYALTY_ESPECIE_01</vt:lpstr>
      <vt:lpstr>'140823-1230 (2)'!ROYALTY_ESPECIE_01</vt:lpstr>
      <vt:lpstr>'PATRICIA MIRRA (2)'!ROYALTY_ESPECIE_01</vt:lpstr>
      <vt:lpstr>ROYALTY_ESPECIE_01</vt:lpstr>
      <vt:lpstr>'078-14 (2)'!ROYALTY_ESPECIE_02</vt:lpstr>
      <vt:lpstr>'140823-1230'!ROYALTY_ESPECIE_02</vt:lpstr>
      <vt:lpstr>'140823-1230 (2)'!ROYALTY_ESPECIE_02</vt:lpstr>
      <vt:lpstr>'PATRICIA MIRRA (2)'!ROYALTY_ESPECIE_02</vt:lpstr>
      <vt:lpstr>ROYALTY_ESPECIE_02</vt:lpstr>
      <vt:lpstr>'078-14 (2)'!ROYALTY_ESPECIE_03</vt:lpstr>
      <vt:lpstr>'140823-1230'!ROYALTY_ESPECIE_03</vt:lpstr>
      <vt:lpstr>'140823-1230 (2)'!ROYALTY_ESPECIE_03</vt:lpstr>
      <vt:lpstr>'PATRICIA MIRRA (2)'!ROYALTY_ESPECIE_03</vt:lpstr>
      <vt:lpstr>ROYALTY_ESPECIE_03</vt:lpstr>
      <vt:lpstr>'078-14 (2)'!ROYALTY_ESPECIE_04</vt:lpstr>
      <vt:lpstr>'140823-1230'!ROYALTY_ESPECIE_04</vt:lpstr>
      <vt:lpstr>'140823-1230 (2)'!ROYALTY_ESPECIE_04</vt:lpstr>
      <vt:lpstr>'PATRICIA MIRRA (2)'!ROYALTY_ESPECIE_04</vt:lpstr>
      <vt:lpstr>ROYALTY_ESPECIE_04</vt:lpstr>
      <vt:lpstr>'078-14 (2)'!ROYALTY_ESPECIE_05</vt:lpstr>
      <vt:lpstr>'140823-1230'!ROYALTY_ESPECIE_05</vt:lpstr>
      <vt:lpstr>'140823-1230 (2)'!ROYALTY_ESPECIE_05</vt:lpstr>
      <vt:lpstr>'PATRICIA MIRRA (2)'!ROYALTY_ESPECIE_05</vt:lpstr>
      <vt:lpstr>ROYALTY_ESPECIE_05</vt:lpstr>
      <vt:lpstr>'078-14 (2)'!ROYALTY_ESPECIE_06</vt:lpstr>
      <vt:lpstr>'140823-1230'!ROYALTY_ESPECIE_06</vt:lpstr>
      <vt:lpstr>'140823-1230 (2)'!ROYALTY_ESPECIE_06</vt:lpstr>
      <vt:lpstr>'PATRICIA MIRRA (2)'!ROYALTY_ESPECIE_06</vt:lpstr>
      <vt:lpstr>ROYALTY_ESPECIE_06</vt:lpstr>
      <vt:lpstr>'078-14 (2)'!ROYALTY_ESPECIE_07</vt:lpstr>
      <vt:lpstr>'140823-1230'!ROYALTY_ESPECIE_07</vt:lpstr>
      <vt:lpstr>'140823-1230 (2)'!ROYALTY_ESPECIE_07</vt:lpstr>
      <vt:lpstr>'PATRICIA MIRRA (2)'!ROYALTY_ESPECIE_07</vt:lpstr>
      <vt:lpstr>ROYALTY_ESPECIE_07</vt:lpstr>
      <vt:lpstr>'078-14 (2)'!ROYALTY_ESPECIE_08</vt:lpstr>
      <vt:lpstr>'140823-1230'!ROYALTY_ESPECIE_08</vt:lpstr>
      <vt:lpstr>'140823-1230 (2)'!ROYALTY_ESPECIE_08</vt:lpstr>
      <vt:lpstr>'PATRICIA MIRRA (2)'!ROYALTY_ESPECIE_08</vt:lpstr>
      <vt:lpstr>ROYALTY_ESPECIE_08</vt:lpstr>
      <vt:lpstr>'078-14 (2)'!ROYALTY_PERCENTUAL_01</vt:lpstr>
      <vt:lpstr>'140823-1230'!ROYALTY_PERCENTUAL_01</vt:lpstr>
      <vt:lpstr>'140823-1230 (2)'!ROYALTY_PERCENTUAL_01</vt:lpstr>
      <vt:lpstr>'PATRICIA MIRRA (2)'!ROYALTY_PERCENTUAL_01</vt:lpstr>
      <vt:lpstr>ROYALTY_PERCENTUAL_01</vt:lpstr>
      <vt:lpstr>'078-14 (2)'!ROYALTY_PERCENTUAL_02</vt:lpstr>
      <vt:lpstr>'140823-1230'!ROYALTY_PERCENTUAL_02</vt:lpstr>
      <vt:lpstr>'140823-1230 (2)'!ROYALTY_PERCENTUAL_02</vt:lpstr>
      <vt:lpstr>'PATRICIA MIRRA (2)'!ROYALTY_PERCENTUAL_02</vt:lpstr>
      <vt:lpstr>ROYALTY_PERCENTUAL_02</vt:lpstr>
      <vt:lpstr>'078-14 (2)'!ROYALTY_PERCENTUAL_03</vt:lpstr>
      <vt:lpstr>'140823-1230'!ROYALTY_PERCENTUAL_03</vt:lpstr>
      <vt:lpstr>'140823-1230 (2)'!ROYALTY_PERCENTUAL_03</vt:lpstr>
      <vt:lpstr>'PATRICIA MIRRA (2)'!ROYALTY_PERCENTUAL_03</vt:lpstr>
      <vt:lpstr>ROYALTY_PERCENTUAL_03</vt:lpstr>
      <vt:lpstr>'078-14 (2)'!ROYALTY_PERCENTUAL_04</vt:lpstr>
      <vt:lpstr>'140823-1230'!ROYALTY_PERCENTUAL_04</vt:lpstr>
      <vt:lpstr>'140823-1230 (2)'!ROYALTY_PERCENTUAL_04</vt:lpstr>
      <vt:lpstr>'PATRICIA MIRRA (2)'!ROYALTY_PERCENTUAL_04</vt:lpstr>
      <vt:lpstr>ROYALTY_PERCENTUAL_04</vt:lpstr>
      <vt:lpstr>'078-14 (2)'!ROYALTY_PERCENTUAL_05</vt:lpstr>
      <vt:lpstr>'140823-1230'!ROYALTY_PERCENTUAL_05</vt:lpstr>
      <vt:lpstr>'140823-1230 (2)'!ROYALTY_PERCENTUAL_05</vt:lpstr>
      <vt:lpstr>'PATRICIA MIRRA (2)'!ROYALTY_PERCENTUAL_05</vt:lpstr>
      <vt:lpstr>ROYALTY_PERCENTUAL_05</vt:lpstr>
      <vt:lpstr>'078-14 (2)'!ROYALTY_PERCENTUAL_06</vt:lpstr>
      <vt:lpstr>'140823-1230'!ROYALTY_PERCENTUAL_06</vt:lpstr>
      <vt:lpstr>'140823-1230 (2)'!ROYALTY_PERCENTUAL_06</vt:lpstr>
      <vt:lpstr>'PATRICIA MIRRA (2)'!ROYALTY_PERCENTUAL_06</vt:lpstr>
      <vt:lpstr>ROYALTY_PERCENTUAL_06</vt:lpstr>
      <vt:lpstr>'078-14 (2)'!ROYALTY_PERCENTUAL_07</vt:lpstr>
      <vt:lpstr>'140823-1230'!ROYALTY_PERCENTUAL_07</vt:lpstr>
      <vt:lpstr>'140823-1230 (2)'!ROYALTY_PERCENTUAL_07</vt:lpstr>
      <vt:lpstr>'PATRICIA MIRRA (2)'!ROYALTY_PERCENTUAL_07</vt:lpstr>
      <vt:lpstr>ROYALTY_PERCENTUAL_07</vt:lpstr>
      <vt:lpstr>'078-14 (2)'!ROYALTY_PERCENTUAL_08</vt:lpstr>
      <vt:lpstr>'140823-1230'!ROYALTY_PERCENTUAL_08</vt:lpstr>
      <vt:lpstr>'140823-1230 (2)'!ROYALTY_PERCENTUAL_08</vt:lpstr>
      <vt:lpstr>'PATRICIA MIRRA (2)'!ROYALTY_PERCENTUAL_08</vt:lpstr>
      <vt:lpstr>ROYALTY_PERCENTUAL_08</vt:lpstr>
      <vt:lpstr>'078-14 (2)'!SERVICO</vt:lpstr>
      <vt:lpstr>'140823-1230'!SERVICO</vt:lpstr>
      <vt:lpstr>'140823-1230 (2)'!SERVICO</vt:lpstr>
      <vt:lpstr>'PATRICIA MIRRA (2)'!SERVICO</vt:lpstr>
      <vt:lpstr>SERVICO</vt:lpstr>
      <vt:lpstr>'078-14 (2)'!SomaCustos_01</vt:lpstr>
      <vt:lpstr>'140823-1230'!SomaCustos_01</vt:lpstr>
      <vt:lpstr>'140823-1230 (2)'!SomaCustos_01</vt:lpstr>
      <vt:lpstr>'PATRICIA MIRRA (2)'!SomaCustos_01</vt:lpstr>
      <vt:lpstr>SomaCustos_01</vt:lpstr>
      <vt:lpstr>'078-14 (2)'!SomaCustos_02</vt:lpstr>
      <vt:lpstr>'140823-1230'!SomaCustos_02</vt:lpstr>
      <vt:lpstr>'140823-1230 (2)'!SomaCustos_02</vt:lpstr>
      <vt:lpstr>'PATRICIA MIRRA (2)'!SomaCustos_02</vt:lpstr>
      <vt:lpstr>SomaCustos_02</vt:lpstr>
      <vt:lpstr>'078-14 (2)'!SomaCustos_03</vt:lpstr>
      <vt:lpstr>'140823-1230'!SomaCustos_03</vt:lpstr>
      <vt:lpstr>'140823-1230 (2)'!SomaCustos_03</vt:lpstr>
      <vt:lpstr>'PATRICIA MIRRA (2)'!SomaCustos_03</vt:lpstr>
      <vt:lpstr>SomaCustos_03</vt:lpstr>
      <vt:lpstr>'078-14 (2)'!SomaCustos_04</vt:lpstr>
      <vt:lpstr>'140823-1230'!SomaCustos_04</vt:lpstr>
      <vt:lpstr>'140823-1230 (2)'!SomaCustos_04</vt:lpstr>
      <vt:lpstr>'PATRICIA MIRRA (2)'!SomaCustos_04</vt:lpstr>
      <vt:lpstr>SomaCustos_04</vt:lpstr>
      <vt:lpstr>'078-14 (2)'!SomaCustos_05</vt:lpstr>
      <vt:lpstr>'140823-1230'!SomaCustos_05</vt:lpstr>
      <vt:lpstr>'140823-1230 (2)'!SomaCustos_05</vt:lpstr>
      <vt:lpstr>'PATRICIA MIRRA (2)'!SomaCustos_05</vt:lpstr>
      <vt:lpstr>SomaCustos_05</vt:lpstr>
      <vt:lpstr>'078-14 (2)'!SomaCustos_06</vt:lpstr>
      <vt:lpstr>'140823-1230'!SomaCustos_06</vt:lpstr>
      <vt:lpstr>'140823-1230 (2)'!SomaCustos_06</vt:lpstr>
      <vt:lpstr>'PATRICIA MIRRA (2)'!SomaCustos_06</vt:lpstr>
      <vt:lpstr>SomaCustos_06</vt:lpstr>
      <vt:lpstr>'078-14 (2)'!SomaCustos_07</vt:lpstr>
      <vt:lpstr>'140823-1230'!SomaCustos_07</vt:lpstr>
      <vt:lpstr>'140823-1230 (2)'!SomaCustos_07</vt:lpstr>
      <vt:lpstr>'PATRICIA MIRRA (2)'!SomaCustos_07</vt:lpstr>
      <vt:lpstr>SomaCustos_07</vt:lpstr>
      <vt:lpstr>'078-14 (2)'!SomaCustos_08</vt:lpstr>
      <vt:lpstr>'140823-1230'!SomaCustos_08</vt:lpstr>
      <vt:lpstr>'140823-1230 (2)'!SomaCustos_08</vt:lpstr>
      <vt:lpstr>'PATRICIA MIRRA (2)'!SomaCustos_08</vt:lpstr>
      <vt:lpstr>SomaCustos_08</vt:lpstr>
      <vt:lpstr>'078-14 (2)'!TIRAGEM_01</vt:lpstr>
      <vt:lpstr>'140823-1230'!TIRAGEM_01</vt:lpstr>
      <vt:lpstr>'140823-1230 (2)'!TIRAGEM_01</vt:lpstr>
      <vt:lpstr>'PATRICIA MIRRA (2)'!TIRAGEM_01</vt:lpstr>
      <vt:lpstr>TIRAGEM_01</vt:lpstr>
      <vt:lpstr>'078-14 (2)'!TIRAGEM_02</vt:lpstr>
      <vt:lpstr>'140823-1230'!TIRAGEM_02</vt:lpstr>
      <vt:lpstr>'140823-1230 (2)'!TIRAGEM_02</vt:lpstr>
      <vt:lpstr>'PATRICIA MIRRA (2)'!TIRAGEM_02</vt:lpstr>
      <vt:lpstr>TIRAGEM_02</vt:lpstr>
      <vt:lpstr>'078-14 (2)'!TIRAGEM_03</vt:lpstr>
      <vt:lpstr>'140823-1230'!TIRAGEM_03</vt:lpstr>
      <vt:lpstr>'140823-1230 (2)'!TIRAGEM_03</vt:lpstr>
      <vt:lpstr>'PATRICIA MIRRA (2)'!TIRAGEM_03</vt:lpstr>
      <vt:lpstr>TIRAGEM_03</vt:lpstr>
      <vt:lpstr>'078-14 (2)'!TIRAGEM_04</vt:lpstr>
      <vt:lpstr>'140823-1230'!TIRAGEM_04</vt:lpstr>
      <vt:lpstr>'140823-1230 (2)'!TIRAGEM_04</vt:lpstr>
      <vt:lpstr>'PATRICIA MIRRA (2)'!TIRAGEM_04</vt:lpstr>
      <vt:lpstr>TIRAGEM_04</vt:lpstr>
      <vt:lpstr>'078-14 (2)'!TIRAGEM_05</vt:lpstr>
      <vt:lpstr>'140823-1230'!TIRAGEM_05</vt:lpstr>
      <vt:lpstr>'140823-1230 (2)'!TIRAGEM_05</vt:lpstr>
      <vt:lpstr>'PATRICIA MIRRA (2)'!TIRAGEM_05</vt:lpstr>
      <vt:lpstr>TIRAGEM_05</vt:lpstr>
      <vt:lpstr>'078-14 (2)'!TIRAGEM_06</vt:lpstr>
      <vt:lpstr>'140823-1230'!TIRAGEM_06</vt:lpstr>
      <vt:lpstr>'140823-1230 (2)'!TIRAGEM_06</vt:lpstr>
      <vt:lpstr>'PATRICIA MIRRA (2)'!TIRAGEM_06</vt:lpstr>
      <vt:lpstr>TIRAGEM_06</vt:lpstr>
      <vt:lpstr>'078-14 (2)'!TIRAGEM_07</vt:lpstr>
      <vt:lpstr>'140823-1230'!TIRAGEM_07</vt:lpstr>
      <vt:lpstr>'140823-1230 (2)'!TIRAGEM_07</vt:lpstr>
      <vt:lpstr>'PATRICIA MIRRA (2)'!TIRAGEM_07</vt:lpstr>
      <vt:lpstr>TIRAGEM_07</vt:lpstr>
      <vt:lpstr>'078-14 (2)'!TIRAGEM_08</vt:lpstr>
      <vt:lpstr>'140823-1230'!TIRAGEM_08</vt:lpstr>
      <vt:lpstr>'140823-1230 (2)'!TIRAGEM_08</vt:lpstr>
      <vt:lpstr>'PATRICIA MIRRA (2)'!TIRAGEM_08</vt:lpstr>
      <vt:lpstr>TIRAGEM_08</vt:lpstr>
      <vt:lpstr>'078-14 (2)'!ValorUnitarioCompras_01</vt:lpstr>
      <vt:lpstr>'140823-1230'!ValorUnitarioCompras_01</vt:lpstr>
      <vt:lpstr>'140823-1230 (2)'!ValorUnitarioCompras_01</vt:lpstr>
      <vt:lpstr>'PATRICIA MIRRA (2)'!ValorUnitarioCompras_01</vt:lpstr>
      <vt:lpstr>ValorUnitarioCompras_01</vt:lpstr>
      <vt:lpstr>'078-14 (2)'!ValorUnitarioCompras_02</vt:lpstr>
      <vt:lpstr>'140823-1230'!ValorUnitarioCompras_02</vt:lpstr>
      <vt:lpstr>'140823-1230 (2)'!ValorUnitarioCompras_02</vt:lpstr>
      <vt:lpstr>'PATRICIA MIRRA (2)'!ValorUnitarioCompras_02</vt:lpstr>
      <vt:lpstr>ValorUnitarioCompras_02</vt:lpstr>
      <vt:lpstr>'078-14 (2)'!ValorUnitarioCompras_03</vt:lpstr>
      <vt:lpstr>'140823-1230'!ValorUnitarioCompras_03</vt:lpstr>
      <vt:lpstr>'140823-1230 (2)'!ValorUnitarioCompras_03</vt:lpstr>
      <vt:lpstr>'PATRICIA MIRRA (2)'!ValorUnitarioCompras_03</vt:lpstr>
      <vt:lpstr>ValorUnitarioCompras_03</vt:lpstr>
      <vt:lpstr>'078-14 (2)'!ValorUnitarioCompras_04</vt:lpstr>
      <vt:lpstr>'140823-1230'!ValorUnitarioCompras_04</vt:lpstr>
      <vt:lpstr>'140823-1230 (2)'!ValorUnitarioCompras_04</vt:lpstr>
      <vt:lpstr>'PATRICIA MIRRA (2)'!ValorUnitarioCompras_04</vt:lpstr>
      <vt:lpstr>ValorUnitarioCompras_04</vt:lpstr>
      <vt:lpstr>'078-14 (2)'!ValorUnitarioCompras_05</vt:lpstr>
      <vt:lpstr>'140823-1230'!ValorUnitarioCompras_05</vt:lpstr>
      <vt:lpstr>'140823-1230 (2)'!ValorUnitarioCompras_05</vt:lpstr>
      <vt:lpstr>'PATRICIA MIRRA (2)'!ValorUnitarioCompras_05</vt:lpstr>
      <vt:lpstr>ValorUnitarioCompras_05</vt:lpstr>
      <vt:lpstr>'078-14 (2)'!ValorUnitarioCompras_06</vt:lpstr>
      <vt:lpstr>'140823-1230'!ValorUnitarioCompras_06</vt:lpstr>
      <vt:lpstr>'140823-1230 (2)'!ValorUnitarioCompras_06</vt:lpstr>
      <vt:lpstr>'PATRICIA MIRRA (2)'!ValorUnitarioCompras_06</vt:lpstr>
      <vt:lpstr>ValorUnitarioCompras_06</vt:lpstr>
      <vt:lpstr>'078-14 (2)'!ValorUnitarioCompras_07</vt:lpstr>
      <vt:lpstr>'140823-1230'!ValorUnitarioCompras_07</vt:lpstr>
      <vt:lpstr>'140823-1230 (2)'!ValorUnitarioCompras_07</vt:lpstr>
      <vt:lpstr>'PATRICIA MIRRA (2)'!ValorUnitarioCompras_07</vt:lpstr>
      <vt:lpstr>ValorUnitarioCompras_07</vt:lpstr>
      <vt:lpstr>'078-14 (2)'!ValorUnitarioCompras_08</vt:lpstr>
      <vt:lpstr>'140823-1230'!ValorUnitarioCompras_08</vt:lpstr>
      <vt:lpstr>'140823-1230 (2)'!ValorUnitarioCompras_08</vt:lpstr>
      <vt:lpstr>'PATRICIA MIRRA (2)'!ValorUnitarioCompras_08</vt:lpstr>
      <vt:lpstr>ValorUnitarioCompras_08</vt:lpstr>
      <vt:lpstr>'078-14 (2)'!ValorUnitarioMKT_01</vt:lpstr>
      <vt:lpstr>'140823-1230'!ValorUnitarioMKT_01</vt:lpstr>
      <vt:lpstr>'140823-1230 (2)'!ValorUnitarioMKT_01</vt:lpstr>
      <vt:lpstr>'PATRICIA MIRRA (2)'!ValorUnitarioMKT_01</vt:lpstr>
      <vt:lpstr>ValorUnitarioMKT_01</vt:lpstr>
      <vt:lpstr>'078-14 (2)'!ValorUnitarioMKT_02</vt:lpstr>
      <vt:lpstr>'140823-1230'!ValorUnitarioMKT_02</vt:lpstr>
      <vt:lpstr>'140823-1230 (2)'!ValorUnitarioMKT_02</vt:lpstr>
      <vt:lpstr>'PATRICIA MIRRA (2)'!ValorUnitarioMKT_02</vt:lpstr>
      <vt:lpstr>ValorUnitarioMKT_02</vt:lpstr>
      <vt:lpstr>'078-14 (2)'!ValorUnitarioMKT_03</vt:lpstr>
      <vt:lpstr>'140823-1230'!ValorUnitarioMKT_03</vt:lpstr>
      <vt:lpstr>'140823-1230 (2)'!ValorUnitarioMKT_03</vt:lpstr>
      <vt:lpstr>'PATRICIA MIRRA (2)'!ValorUnitarioMKT_03</vt:lpstr>
      <vt:lpstr>ValorUnitarioMKT_03</vt:lpstr>
      <vt:lpstr>'078-14 (2)'!ValorUnitarioMKT_04</vt:lpstr>
      <vt:lpstr>'140823-1230'!ValorUnitarioMKT_04</vt:lpstr>
      <vt:lpstr>'140823-1230 (2)'!ValorUnitarioMKT_04</vt:lpstr>
      <vt:lpstr>'PATRICIA MIRRA (2)'!ValorUnitarioMKT_04</vt:lpstr>
      <vt:lpstr>ValorUnitarioMKT_04</vt:lpstr>
      <vt:lpstr>'078-14 (2)'!ValorUnitarioMKT_05</vt:lpstr>
      <vt:lpstr>'140823-1230'!ValorUnitarioMKT_05</vt:lpstr>
      <vt:lpstr>'140823-1230 (2)'!ValorUnitarioMKT_05</vt:lpstr>
      <vt:lpstr>'PATRICIA MIRRA (2)'!ValorUnitarioMKT_05</vt:lpstr>
      <vt:lpstr>ValorUnitarioMKT_05</vt:lpstr>
      <vt:lpstr>'078-14 (2)'!ValorUnitarioMKT_06</vt:lpstr>
      <vt:lpstr>'140823-1230'!ValorUnitarioMKT_06</vt:lpstr>
      <vt:lpstr>'140823-1230 (2)'!ValorUnitarioMKT_06</vt:lpstr>
      <vt:lpstr>'PATRICIA MIRRA (2)'!ValorUnitarioMKT_06</vt:lpstr>
      <vt:lpstr>ValorUnitarioMKT_06</vt:lpstr>
      <vt:lpstr>'078-14 (2)'!ValorUnitarioMKT_07</vt:lpstr>
      <vt:lpstr>'140823-1230'!ValorUnitarioMKT_07</vt:lpstr>
      <vt:lpstr>'140823-1230 (2)'!ValorUnitarioMKT_07</vt:lpstr>
      <vt:lpstr>'PATRICIA MIRRA (2)'!ValorUnitarioMKT_07</vt:lpstr>
      <vt:lpstr>ValorUnitarioMKT_07</vt:lpstr>
      <vt:lpstr>'078-14 (2)'!ValorUnitarioMKT_08</vt:lpstr>
      <vt:lpstr>'140823-1230'!ValorUnitarioMKT_08</vt:lpstr>
      <vt:lpstr>'140823-1230 (2)'!ValorUnitarioMKT_08</vt:lpstr>
      <vt:lpstr>'PATRICIA MIRRA (2)'!ValorUnitarioMKT_08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2014-08-25T18:39:24Z</cp:lastPrinted>
  <dcterms:created xsi:type="dcterms:W3CDTF">2011-03-16T19:58:59Z</dcterms:created>
  <dcterms:modified xsi:type="dcterms:W3CDTF">2014-08-26T13:44:46Z</dcterms:modified>
</cp:coreProperties>
</file>